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45" windowWidth="19440" windowHeight="7740" tabRatio="750" activeTab="10"/>
  </bookViews>
  <sheets>
    <sheet name="план " sheetId="8" r:id="rId1"/>
    <sheet name="вспомогательная" sheetId="1" r:id="rId2"/>
    <sheet name="закупки" sheetId="7" r:id="rId3"/>
    <sheet name="аренда" sheetId="4" r:id="rId4"/>
    <sheet name="возмещение" sheetId="5" r:id="rId5"/>
    <sheet name="иная прин ПУ " sheetId="6" r:id="rId6"/>
    <sheet name="иная прин." sheetId="16" r:id="rId7"/>
    <sheet name="местный" sheetId="3" r:id="rId8"/>
    <sheet name="Z1053" sheetId="10" r:id="rId9"/>
    <sheet name="71053" sheetId="11" r:id="rId10"/>
    <sheet name="Субвенция" sheetId="15" r:id="rId11"/>
    <sheet name="Дотация" sheetId="12" r:id="rId12"/>
    <sheet name="Антитеррор" sheetId="13" r:id="rId13"/>
    <sheet name="мол.спец" sheetId="14" r:id="rId14"/>
    <sheet name="иная расходы" sheetId="17" r:id="rId15"/>
    <sheet name="иная расходы род.плата" sheetId="18" r:id="rId16"/>
    <sheet name="121112130" sheetId="19" r:id="rId17"/>
    <sheet name="наказы избирателей" sheetId="20" r:id="rId18"/>
  </sheets>
  <externalReferences>
    <externalReference r:id="rId19"/>
  </externalReferences>
  <definedNames>
    <definedName name="TABLE" localSheetId="2">закупки!#REF!</definedName>
    <definedName name="TABLE_2" localSheetId="2">закупки!#REF!</definedName>
    <definedName name="_xlnm.Print_Titles" localSheetId="1">вспомогательная!$22:$24</definedName>
    <definedName name="_xlnm.Print_Titles" localSheetId="2">закупки!$3:$6</definedName>
    <definedName name="_xlnm.Print_Titles" localSheetId="0">'план '!$21:$23</definedName>
    <definedName name="_xlnm.Print_Area" localSheetId="16">'121112130'!$A$1:$K$40</definedName>
    <definedName name="_xlnm.Print_Area" localSheetId="12">Антитеррор!$A$1:$K$228</definedName>
    <definedName name="_xlnm.Print_Area" localSheetId="1">вспомогательная!$B$1:$N$308</definedName>
    <definedName name="_xlnm.Print_Area" localSheetId="2">закупки!$A$1:$FE$49</definedName>
    <definedName name="_xlnm.Print_Area" localSheetId="5">'иная прин ПУ '!$A$1:$Q$45</definedName>
    <definedName name="_xlnm.Print_Area" localSheetId="7">местный!$A$1:$K$215</definedName>
    <definedName name="_xlnm.Print_Area" localSheetId="0">'план '!$B$1:$N$112</definedName>
    <definedName name="_xlnm.Print_Area" localSheetId="10">Субвенция!$A$1:$K$184</definedName>
  </definedNames>
  <calcPr calcId="125725"/>
</workbook>
</file>

<file path=xl/calcChain.xml><?xml version="1.0" encoding="utf-8"?>
<calcChain xmlns="http://schemas.openxmlformats.org/spreadsheetml/2006/main">
  <c r="K42" i="1"/>
  <c r="K41"/>
  <c r="F177" i="15"/>
  <c r="F57"/>
  <c r="F58"/>
  <c r="F56"/>
  <c r="F55"/>
  <c r="F53"/>
  <c r="G19"/>
  <c r="F67"/>
  <c r="K305" i="1"/>
  <c r="K99"/>
  <c r="K61"/>
  <c r="H22" i="20"/>
  <c r="G22"/>
  <c r="H24"/>
  <c r="D24"/>
  <c r="H20"/>
  <c r="G20"/>
  <c r="F18"/>
  <c r="F20" s="1"/>
  <c r="F22" s="1"/>
  <c r="DF16" i="7"/>
  <c r="P62" i="1"/>
  <c r="P58"/>
  <c r="P75" s="1"/>
  <c r="F175" i="15"/>
  <c r="K33" i="1"/>
  <c r="G18" i="15" l="1"/>
  <c r="F138" i="17"/>
  <c r="Q24" i="6" l="1"/>
  <c r="P24"/>
  <c r="O24"/>
  <c r="O13"/>
  <c r="O9"/>
  <c r="O8"/>
  <c r="F118" i="17" l="1"/>
  <c r="H34" i="19" l="1"/>
  <c r="D34"/>
  <c r="H30"/>
  <c r="G30"/>
  <c r="F29"/>
  <c r="F28"/>
  <c r="F27"/>
  <c r="F26"/>
  <c r="H20"/>
  <c r="G20"/>
  <c r="F18"/>
  <c r="K92" i="8"/>
  <c r="P60" i="1"/>
  <c r="K184"/>
  <c r="G32" i="19" l="1"/>
  <c r="H32"/>
  <c r="F20"/>
  <c r="F30"/>
  <c r="E16" i="16"/>
  <c r="K21" i="17"/>
  <c r="J21"/>
  <c r="D20"/>
  <c r="I20" s="1"/>
  <c r="D19"/>
  <c r="I19" s="1"/>
  <c r="D18"/>
  <c r="I18" s="1"/>
  <c r="F32" i="19" l="1"/>
  <c r="E31" i="15"/>
  <c r="E30"/>
  <c r="E29"/>
  <c r="G22" l="1"/>
  <c r="E207" i="12" l="1"/>
  <c r="E202"/>
  <c r="E199"/>
  <c r="H163" i="18"/>
  <c r="G163"/>
  <c r="F155"/>
  <c r="F163" s="1"/>
  <c r="H149"/>
  <c r="G149"/>
  <c r="F147"/>
  <c r="F146"/>
  <c r="F137"/>
  <c r="G131"/>
  <c r="F131"/>
  <c r="I119"/>
  <c r="H119"/>
  <c r="G118"/>
  <c r="G117"/>
  <c r="G116"/>
  <c r="H110"/>
  <c r="G110"/>
  <c r="F109"/>
  <c r="F108"/>
  <c r="F107"/>
  <c r="F106"/>
  <c r="F105"/>
  <c r="F104"/>
  <c r="I98"/>
  <c r="H98"/>
  <c r="G95"/>
  <c r="G94"/>
  <c r="G93"/>
  <c r="F73"/>
  <c r="G73" s="1"/>
  <c r="H73" s="1"/>
  <c r="F72"/>
  <c r="H66"/>
  <c r="G66"/>
  <c r="F65"/>
  <c r="F64"/>
  <c r="F63"/>
  <c r="F62"/>
  <c r="F60"/>
  <c r="F66" s="1"/>
  <c r="D28"/>
  <c r="I28" s="1"/>
  <c r="J28" s="1"/>
  <c r="K28" s="1"/>
  <c r="D27"/>
  <c r="I27" s="1"/>
  <c r="J27" s="1"/>
  <c r="K27" s="1"/>
  <c r="D26"/>
  <c r="I26" s="1"/>
  <c r="J26" s="1"/>
  <c r="K26" s="1"/>
  <c r="J25"/>
  <c r="K25" s="1"/>
  <c r="D24"/>
  <c r="I24" s="1"/>
  <c r="J24" s="1"/>
  <c r="K24" s="1"/>
  <c r="D23"/>
  <c r="I23" s="1"/>
  <c r="J23" s="1"/>
  <c r="K23" s="1"/>
  <c r="D22"/>
  <c r="I22" s="1"/>
  <c r="J22" s="1"/>
  <c r="K22" s="1"/>
  <c r="J21"/>
  <c r="K21" s="1"/>
  <c r="D20"/>
  <c r="I20" s="1"/>
  <c r="J20" s="1"/>
  <c r="D19"/>
  <c r="I19" s="1"/>
  <c r="D18"/>
  <c r="I18" s="1"/>
  <c r="I29" l="1"/>
  <c r="F74"/>
  <c r="G98"/>
  <c r="F110"/>
  <c r="G119"/>
  <c r="F149"/>
  <c r="E49"/>
  <c r="J29"/>
  <c r="K20"/>
  <c r="K29" s="1"/>
  <c r="G72"/>
  <c r="F136" i="17"/>
  <c r="G64"/>
  <c r="K30" i="11"/>
  <c r="J30"/>
  <c r="K26" i="3"/>
  <c r="J26"/>
  <c r="H136" i="17"/>
  <c r="G136"/>
  <c r="H118"/>
  <c r="G118"/>
  <c r="F85"/>
  <c r="F91" s="1"/>
  <c r="G79"/>
  <c r="F79"/>
  <c r="I67"/>
  <c r="H67"/>
  <c r="G66"/>
  <c r="G65"/>
  <c r="F43"/>
  <c r="G43" s="1"/>
  <c r="H43" s="1"/>
  <c r="F42"/>
  <c r="I17"/>
  <c r="G23" i="16"/>
  <c r="K16"/>
  <c r="J16"/>
  <c r="I16"/>
  <c r="G16"/>
  <c r="F16"/>
  <c r="C16"/>
  <c r="B16"/>
  <c r="Q15"/>
  <c r="Q14"/>
  <c r="H13"/>
  <c r="Q13" s="1"/>
  <c r="H12"/>
  <c r="Q12" s="1"/>
  <c r="D12"/>
  <c r="H11"/>
  <c r="P11" s="1"/>
  <c r="D11"/>
  <c r="H10"/>
  <c r="Q10" s="1"/>
  <c r="H9"/>
  <c r="Q9" s="1"/>
  <c r="H8"/>
  <c r="Q8" s="1"/>
  <c r="H7"/>
  <c r="P7" s="1"/>
  <c r="D7"/>
  <c r="D16" s="1"/>
  <c r="H53" i="18" l="1"/>
  <c r="H52"/>
  <c r="H51"/>
  <c r="H49"/>
  <c r="H47" s="1"/>
  <c r="H72"/>
  <c r="H74" s="1"/>
  <c r="G74"/>
  <c r="G49"/>
  <c r="G47" s="1"/>
  <c r="G53"/>
  <c r="G52"/>
  <c r="G51"/>
  <c r="E51"/>
  <c r="F49"/>
  <c r="F47" s="1"/>
  <c r="G67" i="17"/>
  <c r="F44"/>
  <c r="I21"/>
  <c r="G42"/>
  <c r="G44" s="1"/>
  <c r="H16" i="16"/>
  <c r="O7"/>
  <c r="Q11"/>
  <c r="Q7"/>
  <c r="O11"/>
  <c r="P8"/>
  <c r="P9"/>
  <c r="P10"/>
  <c r="P12"/>
  <c r="P13"/>
  <c r="P14"/>
  <c r="O8"/>
  <c r="O9"/>
  <c r="O10"/>
  <c r="O12"/>
  <c r="O13"/>
  <c r="O14"/>
  <c r="G50" i="18" l="1"/>
  <c r="F51"/>
  <c r="E52"/>
  <c r="G54"/>
  <c r="G165" s="1"/>
  <c r="H50"/>
  <c r="H54" s="1"/>
  <c r="H165" s="1"/>
  <c r="E30" i="17"/>
  <c r="H42"/>
  <c r="H44" s="1"/>
  <c r="P16" i="16"/>
  <c r="Q16"/>
  <c r="O16"/>
  <c r="D24" i="3"/>
  <c r="I24" s="1"/>
  <c r="D23"/>
  <c r="I23" s="1"/>
  <c r="D22"/>
  <c r="I22" s="1"/>
  <c r="D27" i="11"/>
  <c r="I27" s="1"/>
  <c r="D26"/>
  <c r="I26" s="1"/>
  <c r="D25"/>
  <c r="I25" s="1"/>
  <c r="I20"/>
  <c r="D24" i="10"/>
  <c r="I24" s="1"/>
  <c r="D25"/>
  <c r="I25" s="1"/>
  <c r="D26"/>
  <c r="I26" s="1"/>
  <c r="D27"/>
  <c r="I27" s="1"/>
  <c r="J27" s="1"/>
  <c r="K27" s="1"/>
  <c r="D20"/>
  <c r="I20" s="1"/>
  <c r="D21"/>
  <c r="I21" s="1"/>
  <c r="D22"/>
  <c r="I22" s="1"/>
  <c r="D23"/>
  <c r="I23" s="1"/>
  <c r="J23" s="1"/>
  <c r="K23" s="1"/>
  <c r="D19"/>
  <c r="I19" s="1"/>
  <c r="J19" s="1"/>
  <c r="H34" i="17" l="1"/>
  <c r="H33"/>
  <c r="H32"/>
  <c r="H30"/>
  <c r="H28" s="1"/>
  <c r="G34"/>
  <c r="G33"/>
  <c r="G32"/>
  <c r="G30"/>
  <c r="G28" s="1"/>
  <c r="F52" i="18"/>
  <c r="F50" s="1"/>
  <c r="E53"/>
  <c r="F53" s="1"/>
  <c r="F30" i="17"/>
  <c r="F28" s="1"/>
  <c r="E32"/>
  <c r="J28" i="10"/>
  <c r="K19"/>
  <c r="K28" s="1"/>
  <c r="D31" i="15"/>
  <c r="I31" s="1"/>
  <c r="D30"/>
  <c r="I30" s="1"/>
  <c r="D29"/>
  <c r="I29" s="1"/>
  <c r="D28"/>
  <c r="D27"/>
  <c r="I27" s="1"/>
  <c r="D26"/>
  <c r="I26" s="1"/>
  <c r="D25"/>
  <c r="I25" s="1"/>
  <c r="D24"/>
  <c r="G31" i="17" l="1"/>
  <c r="G35" s="1"/>
  <c r="G138" s="1"/>
  <c r="H31"/>
  <c r="H35" s="1"/>
  <c r="H138" s="1"/>
  <c r="F54" i="18"/>
  <c r="F165" s="1"/>
  <c r="F32" i="17"/>
  <c r="E33"/>
  <c r="D18" i="15"/>
  <c r="I18" s="1"/>
  <c r="D19"/>
  <c r="I19" s="1"/>
  <c r="D20"/>
  <c r="K33" l="1"/>
  <c r="H57" s="1"/>
  <c r="J33"/>
  <c r="F33" i="17"/>
  <c r="F31" s="1"/>
  <c r="E34"/>
  <c r="F34" s="1"/>
  <c r="D17" i="15"/>
  <c r="I17" s="1"/>
  <c r="F35" i="17" l="1"/>
  <c r="K90" i="1"/>
  <c r="K89" s="1"/>
  <c r="L90"/>
  <c r="L89" s="1"/>
  <c r="M90"/>
  <c r="M89" s="1"/>
  <c r="P61"/>
  <c r="P56"/>
  <c r="D20" i="3" l="1"/>
  <c r="I20" s="1"/>
  <c r="D23" i="15"/>
  <c r="D22"/>
  <c r="I22" s="1"/>
  <c r="D21"/>
  <c r="I21" s="1"/>
  <c r="D23" i="11"/>
  <c r="I23" s="1"/>
  <c r="D22"/>
  <c r="I22" s="1"/>
  <c r="D21"/>
  <c r="I21" s="1"/>
  <c r="I23" i="15" l="1"/>
  <c r="I33" s="1"/>
  <c r="E53" s="1"/>
  <c r="H179"/>
  <c r="D179"/>
  <c r="H175"/>
  <c r="G175"/>
  <c r="F171"/>
  <c r="F161"/>
  <c r="H155"/>
  <c r="G155"/>
  <c r="G145"/>
  <c r="F145"/>
  <c r="I133"/>
  <c r="H133"/>
  <c r="H114"/>
  <c r="G114"/>
  <c r="F113"/>
  <c r="F112"/>
  <c r="F111"/>
  <c r="F110"/>
  <c r="F109"/>
  <c r="F108"/>
  <c r="I102"/>
  <c r="H102"/>
  <c r="G102"/>
  <c r="H70"/>
  <c r="G70"/>
  <c r="F69"/>
  <c r="F68"/>
  <c r="F64"/>
  <c r="E55" l="1"/>
  <c r="F70"/>
  <c r="F155"/>
  <c r="F114"/>
  <c r="G133"/>
  <c r="L134" s="1"/>
  <c r="G78"/>
  <c r="H78"/>
  <c r="F78"/>
  <c r="F51" l="1"/>
  <c r="E56"/>
  <c r="H53" l="1"/>
  <c r="H51" s="1"/>
  <c r="H56"/>
  <c r="H55"/>
  <c r="G53"/>
  <c r="G51" s="1"/>
  <c r="G56"/>
  <c r="G57"/>
  <c r="G55"/>
  <c r="G54" s="1"/>
  <c r="E57"/>
  <c r="F54"/>
  <c r="H54" l="1"/>
  <c r="G58"/>
  <c r="G177" s="1"/>
  <c r="H58"/>
  <c r="H177" s="1"/>
  <c r="H216" i="14"/>
  <c r="G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H188"/>
  <c r="G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H162"/>
  <c r="G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H138"/>
  <c r="G138"/>
  <c r="F138"/>
  <c r="I126"/>
  <c r="H126"/>
  <c r="G125"/>
  <c r="G124"/>
  <c r="G123"/>
  <c r="G122"/>
  <c r="G121"/>
  <c r="G120"/>
  <c r="H114"/>
  <c r="G114"/>
  <c r="F113"/>
  <c r="F112"/>
  <c r="F111"/>
  <c r="F110"/>
  <c r="F109"/>
  <c r="F108"/>
  <c r="I102"/>
  <c r="H102"/>
  <c r="G99"/>
  <c r="G98"/>
  <c r="G97"/>
  <c r="F72"/>
  <c r="G72" s="1"/>
  <c r="H72" s="1"/>
  <c r="F71"/>
  <c r="F77" s="1"/>
  <c r="H65"/>
  <c r="G65"/>
  <c r="F64"/>
  <c r="F63"/>
  <c r="F62"/>
  <c r="F61"/>
  <c r="F60"/>
  <c r="F59"/>
  <c r="K28"/>
  <c r="H48" s="1"/>
  <c r="H46" s="1"/>
  <c r="J28"/>
  <c r="G52" s="1"/>
  <c r="D27"/>
  <c r="I27" s="1"/>
  <c r="D26"/>
  <c r="I26" s="1"/>
  <c r="D25"/>
  <c r="I25" s="1"/>
  <c r="D24"/>
  <c r="I24" s="1"/>
  <c r="D23"/>
  <c r="I23" s="1"/>
  <c r="D22"/>
  <c r="I22" s="1"/>
  <c r="D21"/>
  <c r="I21" s="1"/>
  <c r="D19"/>
  <c r="I19" s="1"/>
  <c r="E48" s="1"/>
  <c r="H216" i="13"/>
  <c r="G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H188"/>
  <c r="G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H162"/>
  <c r="G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H138"/>
  <c r="G138"/>
  <c r="F138"/>
  <c r="I126"/>
  <c r="H126"/>
  <c r="G125"/>
  <c r="G124"/>
  <c r="G123"/>
  <c r="G122"/>
  <c r="G121"/>
  <c r="G120"/>
  <c r="H114"/>
  <c r="G114"/>
  <c r="F113"/>
  <c r="F112"/>
  <c r="F111"/>
  <c r="F110"/>
  <c r="F109"/>
  <c r="F108"/>
  <c r="I102"/>
  <c r="H102"/>
  <c r="G99"/>
  <c r="G98"/>
  <c r="G97"/>
  <c r="F72"/>
  <c r="G72" s="1"/>
  <c r="H72" s="1"/>
  <c r="F71"/>
  <c r="H65"/>
  <c r="G65"/>
  <c r="F64"/>
  <c r="F63"/>
  <c r="F62"/>
  <c r="F61"/>
  <c r="F60"/>
  <c r="F59"/>
  <c r="H53"/>
  <c r="G53"/>
  <c r="K28"/>
  <c r="J28"/>
  <c r="D27"/>
  <c r="I27" s="1"/>
  <c r="D26"/>
  <c r="I26" s="1"/>
  <c r="D25"/>
  <c r="I25" s="1"/>
  <c r="D24"/>
  <c r="I24" s="1"/>
  <c r="D23"/>
  <c r="I23" s="1"/>
  <c r="D22"/>
  <c r="I22" s="1"/>
  <c r="D21"/>
  <c r="I21" s="1"/>
  <c r="D20"/>
  <c r="I20" s="1"/>
  <c r="E48" s="1"/>
  <c r="D19"/>
  <c r="I19" s="1"/>
  <c r="D18"/>
  <c r="I18" s="1"/>
  <c r="H210" i="12"/>
  <c r="G210"/>
  <c r="F194"/>
  <c r="H188"/>
  <c r="G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H162"/>
  <c r="G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H138"/>
  <c r="G138"/>
  <c r="F138"/>
  <c r="I126"/>
  <c r="H126"/>
  <c r="G125"/>
  <c r="G124"/>
  <c r="G123"/>
  <c r="G122"/>
  <c r="G121"/>
  <c r="G120"/>
  <c r="H114"/>
  <c r="G114"/>
  <c r="F113"/>
  <c r="F112"/>
  <c r="F111"/>
  <c r="F110"/>
  <c r="F109"/>
  <c r="F108"/>
  <c r="I102"/>
  <c r="H102"/>
  <c r="G99"/>
  <c r="G98"/>
  <c r="G97"/>
  <c r="F72"/>
  <c r="G72" s="1"/>
  <c r="H72" s="1"/>
  <c r="F71"/>
  <c r="H65"/>
  <c r="G65"/>
  <c r="F64"/>
  <c r="F63"/>
  <c r="F62"/>
  <c r="F61"/>
  <c r="F60"/>
  <c r="F59"/>
  <c r="K28"/>
  <c r="H52" s="1"/>
  <c r="J28"/>
  <c r="G52" s="1"/>
  <c r="D27"/>
  <c r="I27" s="1"/>
  <c r="D26"/>
  <c r="I26" s="1"/>
  <c r="D25"/>
  <c r="I25" s="1"/>
  <c r="D24"/>
  <c r="I24" s="1"/>
  <c r="D23"/>
  <c r="I23" s="1"/>
  <c r="D22"/>
  <c r="I22" s="1"/>
  <c r="D21"/>
  <c r="I21" s="1"/>
  <c r="D20"/>
  <c r="I20" s="1"/>
  <c r="E48" s="1"/>
  <c r="D19"/>
  <c r="I19" s="1"/>
  <c r="D18"/>
  <c r="I18" s="1"/>
  <c r="D29" i="11"/>
  <c r="I29" s="1"/>
  <c r="D28"/>
  <c r="I28" s="1"/>
  <c r="D19"/>
  <c r="I19" s="1"/>
  <c r="H54" s="1"/>
  <c r="D18"/>
  <c r="I18" s="1"/>
  <c r="D17"/>
  <c r="I17" s="1"/>
  <c r="G52" i="10"/>
  <c r="D18"/>
  <c r="I18" s="1"/>
  <c r="D17"/>
  <c r="I17" s="1"/>
  <c r="I28" s="1"/>
  <c r="H209" i="3"/>
  <c r="D209"/>
  <c r="H205"/>
  <c r="G205"/>
  <c r="F203"/>
  <c r="F205" s="1"/>
  <c r="H197"/>
  <c r="G197"/>
  <c r="F193"/>
  <c r="F192"/>
  <c r="F191"/>
  <c r="F190"/>
  <c r="F189"/>
  <c r="F187"/>
  <c r="F186"/>
  <c r="F185"/>
  <c r="F184"/>
  <c r="F183"/>
  <c r="F182"/>
  <c r="F181"/>
  <c r="F180"/>
  <c r="H174"/>
  <c r="G174"/>
  <c r="F170"/>
  <c r="F154"/>
  <c r="F152"/>
  <c r="F150"/>
  <c r="F148"/>
  <c r="F146"/>
  <c r="F144"/>
  <c r="F142"/>
  <c r="F140"/>
  <c r="F138"/>
  <c r="G132"/>
  <c r="F132"/>
  <c r="I120"/>
  <c r="H120"/>
  <c r="G119"/>
  <c r="G118"/>
  <c r="G117"/>
  <c r="G116"/>
  <c r="G115"/>
  <c r="G114"/>
  <c r="G113"/>
  <c r="G112"/>
  <c r="G111"/>
  <c r="G110"/>
  <c r="G109"/>
  <c r="G108"/>
  <c r="G107"/>
  <c r="H101"/>
  <c r="G101"/>
  <c r="F100"/>
  <c r="F99"/>
  <c r="F98"/>
  <c r="F97"/>
  <c r="F96"/>
  <c r="F95"/>
  <c r="I89"/>
  <c r="H89"/>
  <c r="G88"/>
  <c r="G87"/>
  <c r="G86"/>
  <c r="F66"/>
  <c r="G66" s="1"/>
  <c r="H66" s="1"/>
  <c r="F65"/>
  <c r="G65" s="1"/>
  <c r="H59"/>
  <c r="G59"/>
  <c r="E57"/>
  <c r="F57" s="1"/>
  <c r="D19"/>
  <c r="I19" s="1"/>
  <c r="D18"/>
  <c r="I18" s="1"/>
  <c r="I26" s="1"/>
  <c r="G39" i="6"/>
  <c r="K31"/>
  <c r="J31"/>
  <c r="I31"/>
  <c r="G31"/>
  <c r="F31"/>
  <c r="E31"/>
  <c r="D31"/>
  <c r="C31"/>
  <c r="B31"/>
  <c r="Q30"/>
  <c r="H29"/>
  <c r="Q29" s="1"/>
  <c r="H28"/>
  <c r="Q28" s="1"/>
  <c r="H27"/>
  <c r="P27" s="1"/>
  <c r="H26"/>
  <c r="P26" s="1"/>
  <c r="H25"/>
  <c r="P25" s="1"/>
  <c r="H24"/>
  <c r="H23"/>
  <c r="P23" s="1"/>
  <c r="H22"/>
  <c r="P22" s="1"/>
  <c r="H21"/>
  <c r="P21" s="1"/>
  <c r="H20"/>
  <c r="P20" s="1"/>
  <c r="H19"/>
  <c r="P19" s="1"/>
  <c r="H18"/>
  <c r="P18" s="1"/>
  <c r="H17"/>
  <c r="P17" s="1"/>
  <c r="H16"/>
  <c r="P16" s="1"/>
  <c r="H15"/>
  <c r="P15" s="1"/>
  <c r="H14"/>
  <c r="P14" s="1"/>
  <c r="L13"/>
  <c r="H13"/>
  <c r="Q13" s="1"/>
  <c r="L12"/>
  <c r="H12"/>
  <c r="P12" s="1"/>
  <c r="L11"/>
  <c r="H11"/>
  <c r="Q11" s="1"/>
  <c r="L10"/>
  <c r="H10"/>
  <c r="P10" s="1"/>
  <c r="L9"/>
  <c r="H9"/>
  <c r="Q9" s="1"/>
  <c r="L8"/>
  <c r="H8"/>
  <c r="P8" s="1"/>
  <c r="L7"/>
  <c r="H7"/>
  <c r="P7" s="1"/>
  <c r="ES22" i="7"/>
  <c r="EF22"/>
  <c r="DS22"/>
  <c r="DF22"/>
  <c r="ES19"/>
  <c r="EF19"/>
  <c r="DS19"/>
  <c r="DF19"/>
  <c r="EF16"/>
  <c r="DS16"/>
  <c r="DS15" s="1"/>
  <c r="ES15"/>
  <c r="EF15"/>
  <c r="EF11" s="1"/>
  <c r="DF15"/>
  <c r="DF13"/>
  <c r="DF12" s="1"/>
  <c r="ES12"/>
  <c r="EF12"/>
  <c r="DS12"/>
  <c r="K220" i="1"/>
  <c r="M265"/>
  <c r="L265"/>
  <c r="M206"/>
  <c r="R58" s="1"/>
  <c r="L206"/>
  <c r="Q58" s="1"/>
  <c r="M203"/>
  <c r="M58"/>
  <c r="L58"/>
  <c r="K58"/>
  <c r="P55" s="1"/>
  <c r="DF11" i="7" l="1"/>
  <c r="DS11"/>
  <c r="ES11"/>
  <c r="O22" i="6"/>
  <c r="O15"/>
  <c r="O20"/>
  <c r="F174" i="3"/>
  <c r="G54" i="11"/>
  <c r="F162" i="12"/>
  <c r="F188"/>
  <c r="I28" i="13"/>
  <c r="F162"/>
  <c r="F188"/>
  <c r="F65" i="14"/>
  <c r="O18" i="6"/>
  <c r="O26"/>
  <c r="O16"/>
  <c r="G89" i="3"/>
  <c r="I28" i="12"/>
  <c r="F210"/>
  <c r="F65" i="13"/>
  <c r="F77"/>
  <c r="G102" i="14"/>
  <c r="F162"/>
  <c r="F188"/>
  <c r="Q16" i="6"/>
  <c r="O17"/>
  <c r="Q18"/>
  <c r="O19"/>
  <c r="Q20"/>
  <c r="O21"/>
  <c r="Q22"/>
  <c r="O23"/>
  <c r="O25"/>
  <c r="Q26"/>
  <c r="O27"/>
  <c r="G50" i="3"/>
  <c r="G49"/>
  <c r="G46"/>
  <c r="G44" s="1"/>
  <c r="G48"/>
  <c r="G102" i="13"/>
  <c r="F114"/>
  <c r="G71" i="14"/>
  <c r="H71" s="1"/>
  <c r="H77" s="1"/>
  <c r="F216"/>
  <c r="P9" i="6"/>
  <c r="Q17"/>
  <c r="Q19"/>
  <c r="Q21"/>
  <c r="Q23"/>
  <c r="Q25"/>
  <c r="Q27"/>
  <c r="H50" i="3"/>
  <c r="H48"/>
  <c r="H49"/>
  <c r="H46"/>
  <c r="H44" s="1"/>
  <c r="F59"/>
  <c r="F101"/>
  <c r="F216" i="13"/>
  <c r="G120" i="3"/>
  <c r="L121" s="1"/>
  <c r="F197"/>
  <c r="P13" i="6"/>
  <c r="Q14"/>
  <c r="H31"/>
  <c r="P11"/>
  <c r="O14"/>
  <c r="Q15"/>
  <c r="I30" i="11"/>
  <c r="E50" s="1"/>
  <c r="F50" s="1"/>
  <c r="F48" s="1"/>
  <c r="E48" i="10"/>
  <c r="E50" s="1"/>
  <c r="H48" i="12"/>
  <c r="H46" s="1"/>
  <c r="F65"/>
  <c r="F77"/>
  <c r="G102"/>
  <c r="F114"/>
  <c r="G126"/>
  <c r="G126" i="13"/>
  <c r="F114" i="14"/>
  <c r="G126"/>
  <c r="E50"/>
  <c r="F48"/>
  <c r="F46" s="1"/>
  <c r="I28"/>
  <c r="H218"/>
  <c r="G48"/>
  <c r="G46" s="1"/>
  <c r="H50"/>
  <c r="H51"/>
  <c r="H52"/>
  <c r="G77"/>
  <c r="G218" s="1"/>
  <c r="G50"/>
  <c r="G51"/>
  <c r="E50" i="13"/>
  <c r="F48"/>
  <c r="F46" s="1"/>
  <c r="G71"/>
  <c r="E50" i="12"/>
  <c r="F48"/>
  <c r="F46" s="1"/>
  <c r="G48"/>
  <c r="G46" s="1"/>
  <c r="H50"/>
  <c r="H51"/>
  <c r="G71"/>
  <c r="G50"/>
  <c r="G51"/>
  <c r="E52" i="11"/>
  <c r="H50"/>
  <c r="H48" s="1"/>
  <c r="H53"/>
  <c r="H52"/>
  <c r="G51" i="10"/>
  <c r="G50"/>
  <c r="G48"/>
  <c r="G46" s="1"/>
  <c r="H48"/>
  <c r="H46" s="1"/>
  <c r="H52"/>
  <c r="H51"/>
  <c r="H50"/>
  <c r="G67" i="3"/>
  <c r="H65"/>
  <c r="H67" s="1"/>
  <c r="H207" s="1"/>
  <c r="G207"/>
  <c r="F67"/>
  <c r="Q8" i="6"/>
  <c r="O10"/>
  <c r="Q10"/>
  <c r="O12"/>
  <c r="Q12"/>
  <c r="P28"/>
  <c r="P29"/>
  <c r="O7"/>
  <c r="Q7"/>
  <c r="O11"/>
  <c r="O28"/>
  <c r="O29"/>
  <c r="D18" i="1"/>
  <c r="R65"/>
  <c r="Q65"/>
  <c r="P65"/>
  <c r="M247"/>
  <c r="L247"/>
  <c r="R59"/>
  <c r="Q59"/>
  <c r="P59"/>
  <c r="P54"/>
  <c r="E46" i="3" l="1"/>
  <c r="E48" s="1"/>
  <c r="F48" s="1"/>
  <c r="F212" i="12"/>
  <c r="H49"/>
  <c r="H53" s="1"/>
  <c r="G52" i="11"/>
  <c r="F218" i="13"/>
  <c r="G50" i="11"/>
  <c r="G48" s="1"/>
  <c r="G53"/>
  <c r="G47" i="3"/>
  <c r="F218" i="14"/>
  <c r="H51" i="11"/>
  <c r="H55" s="1"/>
  <c r="H57" s="1"/>
  <c r="F48" i="10"/>
  <c r="F46" s="1"/>
  <c r="Q31" i="6"/>
  <c r="R27" s="1"/>
  <c r="P31"/>
  <c r="H47" i="3"/>
  <c r="H51" s="1"/>
  <c r="G49" i="10"/>
  <c r="G53" s="1"/>
  <c r="G54" s="1"/>
  <c r="H49"/>
  <c r="H53" s="1"/>
  <c r="H54" s="1"/>
  <c r="E51" i="14"/>
  <c r="F50"/>
  <c r="G49"/>
  <c r="H49"/>
  <c r="H53" s="1"/>
  <c r="G53"/>
  <c r="H71" i="13"/>
  <c r="H77" s="1"/>
  <c r="H218" s="1"/>
  <c r="G77"/>
  <c r="G218" s="1"/>
  <c r="E51"/>
  <c r="F50"/>
  <c r="E51" i="12"/>
  <c r="F50"/>
  <c r="G49"/>
  <c r="G53" s="1"/>
  <c r="H71"/>
  <c r="H77" s="1"/>
  <c r="H212" s="1"/>
  <c r="G77"/>
  <c r="G212" s="1"/>
  <c r="E53" i="11"/>
  <c r="F52"/>
  <c r="E51" i="10"/>
  <c r="F50"/>
  <c r="E49" i="3"/>
  <c r="F49" s="1"/>
  <c r="G51"/>
  <c r="O31" i="6"/>
  <c r="S31" s="1"/>
  <c r="P72" i="1"/>
  <c r="F46" i="3" l="1"/>
  <c r="F44" s="1"/>
  <c r="G51" i="11"/>
  <c r="G55" s="1"/>
  <c r="G57" s="1"/>
  <c r="E52" i="14"/>
  <c r="F52" s="1"/>
  <c r="F51"/>
  <c r="F49" s="1"/>
  <c r="E52" i="13"/>
  <c r="F52" s="1"/>
  <c r="F51"/>
  <c r="F49" s="1"/>
  <c r="E52" i="12"/>
  <c r="F52" s="1"/>
  <c r="F51"/>
  <c r="F49" s="1"/>
  <c r="E54" i="11"/>
  <c r="F54" s="1"/>
  <c r="F53"/>
  <c r="F51" s="1"/>
  <c r="E52" i="10"/>
  <c r="F52" s="1"/>
  <c r="F51"/>
  <c r="F49" s="1"/>
  <c r="E50" i="3"/>
  <c r="F50" s="1"/>
  <c r="F47"/>
  <c r="D17" i="8"/>
  <c r="F51" i="3" l="1"/>
  <c r="F207" s="1"/>
  <c r="F55" i="11"/>
  <c r="F57" s="1"/>
  <c r="F53" i="14"/>
  <c r="F53" i="10"/>
  <c r="F54" s="1"/>
  <c r="F53" i="12"/>
  <c r="F53" i="13"/>
  <c r="G19" i="4"/>
  <c r="G20" i="5" s="1"/>
  <c r="C19" i="4"/>
  <c r="C20" i="5" s="1"/>
  <c r="C17"/>
  <c r="K25" i="8"/>
  <c r="L220" i="1"/>
  <c r="L99" i="8" s="1"/>
  <c r="M220" i="1"/>
  <c r="M99" i="8" s="1"/>
  <c r="K99"/>
  <c r="Q55" i="1"/>
  <c r="R55"/>
  <c r="Q56"/>
  <c r="R56"/>
  <c r="Q57"/>
  <c r="R57"/>
  <c r="Q60"/>
  <c r="R60"/>
  <c r="Q63"/>
  <c r="R63"/>
  <c r="Q64"/>
  <c r="R64"/>
  <c r="Q72"/>
  <c r="R72"/>
  <c r="Q73"/>
  <c r="R73"/>
  <c r="L207"/>
  <c r="Q61" s="1"/>
  <c r="L167"/>
  <c r="D14" i="8"/>
  <c r="K8"/>
  <c r="A25" i="4" s="1"/>
  <c r="A25" i="5" s="1"/>
  <c r="K6" i="8"/>
  <c r="K4"/>
  <c r="N12"/>
  <c r="N17"/>
  <c r="N16"/>
  <c r="M167" i="1" l="1"/>
  <c r="M207"/>
  <c r="R61" s="1"/>
  <c r="G17" i="5"/>
  <c r="L108" i="8"/>
  <c r="M108"/>
  <c r="K108"/>
  <c r="K48"/>
  <c r="L48"/>
  <c r="M48"/>
  <c r="K49"/>
  <c r="L49"/>
  <c r="M49"/>
  <c r="L47"/>
  <c r="M47"/>
  <c r="K47"/>
  <c r="L45"/>
  <c r="M45"/>
  <c r="K45"/>
  <c r="L41"/>
  <c r="M41"/>
  <c r="K41"/>
  <c r="K40" s="1"/>
  <c r="L38"/>
  <c r="M38"/>
  <c r="K38"/>
  <c r="L35"/>
  <c r="M35"/>
  <c r="K35"/>
  <c r="L32"/>
  <c r="M32"/>
  <c r="K32"/>
  <c r="R54" i="1" l="1"/>
  <c r="Q54"/>
  <c r="N93" i="8"/>
  <c r="M106"/>
  <c r="L106"/>
  <c r="K106"/>
  <c r="M91"/>
  <c r="L91"/>
  <c r="K91"/>
  <c r="M89"/>
  <c r="L89"/>
  <c r="K89"/>
  <c r="M87"/>
  <c r="L87"/>
  <c r="K87"/>
  <c r="M84"/>
  <c r="L84"/>
  <c r="K84"/>
  <c r="M82"/>
  <c r="L82"/>
  <c r="K82"/>
  <c r="M80"/>
  <c r="L80"/>
  <c r="K80"/>
  <c r="M73"/>
  <c r="L73"/>
  <c r="K73"/>
  <c r="M50"/>
  <c r="L50"/>
  <c r="K50"/>
  <c r="M44"/>
  <c r="L44"/>
  <c r="K44"/>
  <c r="M40"/>
  <c r="L40"/>
  <c r="M37"/>
  <c r="L37"/>
  <c r="K37"/>
  <c r="M34"/>
  <c r="L34"/>
  <c r="K34"/>
  <c r="M31"/>
  <c r="L31"/>
  <c r="K31"/>
  <c r="M28"/>
  <c r="L28"/>
  <c r="K28"/>
  <c r="K264" i="1"/>
  <c r="K103" i="8" s="1"/>
  <c r="K202" i="1"/>
  <c r="K166"/>
  <c r="K96" i="8" s="1"/>
  <c r="K97"/>
  <c r="K144" i="1"/>
  <c r="K94" i="8" s="1"/>
  <c r="P73" i="1"/>
  <c r="P64"/>
  <c r="P63"/>
  <c r="P57"/>
  <c r="M282"/>
  <c r="M104" i="8" s="1"/>
  <c r="L282" i="1"/>
  <c r="L104" i="8" s="1"/>
  <c r="K282" i="1"/>
  <c r="K104" i="8" s="1"/>
  <c r="M264" i="1"/>
  <c r="M103" i="8" s="1"/>
  <c r="L264" i="1"/>
  <c r="L103" i="8" s="1"/>
  <c r="L162" i="1"/>
  <c r="L95" i="8" s="1"/>
  <c r="M162" i="1"/>
  <c r="M95" i="8" s="1"/>
  <c r="K162" i="1"/>
  <c r="K95" i="8" s="1"/>
  <c r="M144" i="1"/>
  <c r="M94" i="8" s="1"/>
  <c r="L144" i="1"/>
  <c r="L94" i="8" s="1"/>
  <c r="M166" i="1"/>
  <c r="M96" i="8" s="1"/>
  <c r="L166" i="1"/>
  <c r="L96" i="8" s="1"/>
  <c r="M184" i="1"/>
  <c r="M97" i="8" s="1"/>
  <c r="L184" i="1"/>
  <c r="L97" i="8" s="1"/>
  <c r="M202" i="1"/>
  <c r="M98" i="8" s="1"/>
  <c r="L202" i="1"/>
  <c r="L98" i="8" s="1"/>
  <c r="M223" i="1"/>
  <c r="M100" i="8" s="1"/>
  <c r="L223" i="1"/>
  <c r="L100" i="8" s="1"/>
  <c r="K223" i="1"/>
  <c r="K100" i="8" s="1"/>
  <c r="L242" i="1"/>
  <c r="L101" i="8" s="1"/>
  <c r="M242" i="1"/>
  <c r="M101" i="8" s="1"/>
  <c r="K242" i="1"/>
  <c r="K101" i="8" s="1"/>
  <c r="L246" i="1"/>
  <c r="L102" i="8" s="1"/>
  <c r="M246" i="1"/>
  <c r="M102" i="8" s="1"/>
  <c r="K246" i="1"/>
  <c r="K102" i="8" s="1"/>
  <c r="K56" i="1"/>
  <c r="L56"/>
  <c r="M56"/>
  <c r="M55" i="8" s="1"/>
  <c r="L118" i="1"/>
  <c r="L79" i="8" s="1"/>
  <c r="L78" s="1"/>
  <c r="M118" i="1"/>
  <c r="M79" i="8" s="1"/>
  <c r="M78" s="1"/>
  <c r="K118" i="1"/>
  <c r="K117" s="1"/>
  <c r="M94"/>
  <c r="M64" i="8" s="1"/>
  <c r="M63" s="1"/>
  <c r="L94" i="1"/>
  <c r="L93" s="1"/>
  <c r="K94"/>
  <c r="K93" s="1"/>
  <c r="L73"/>
  <c r="L56" i="8" s="1"/>
  <c r="M73" i="1"/>
  <c r="M56" i="8" s="1"/>
  <c r="K73" i="1"/>
  <c r="K56" i="8" s="1"/>
  <c r="K55" i="1" l="1"/>
  <c r="L55" i="8"/>
  <c r="L54" s="1"/>
  <c r="L55" i="1"/>
  <c r="K98" i="8"/>
  <c r="K93" s="1"/>
  <c r="K86" s="1"/>
  <c r="K143" i="1"/>
  <c r="K79" i="8"/>
  <c r="K78" s="1"/>
  <c r="K77" s="1"/>
  <c r="K64"/>
  <c r="K63" s="1"/>
  <c r="K62" s="1"/>
  <c r="L64"/>
  <c r="L63" s="1"/>
  <c r="L62" s="1"/>
  <c r="M143" i="1"/>
  <c r="L143"/>
  <c r="L117"/>
  <c r="M117"/>
  <c r="M93"/>
  <c r="K55" i="8"/>
  <c r="K54" s="1"/>
  <c r="L93"/>
  <c r="L86" s="1"/>
  <c r="M93"/>
  <c r="M86" s="1"/>
  <c r="L77"/>
  <c r="M62"/>
  <c r="M77"/>
  <c r="M54"/>
  <c r="L27"/>
  <c r="K27"/>
  <c r="M27"/>
  <c r="M55" i="1"/>
  <c r="ES7" i="7" l="1"/>
  <c r="EF7"/>
  <c r="DS7"/>
  <c r="DF7"/>
  <c r="L304" i="1"/>
  <c r="L302" s="1"/>
  <c r="M304"/>
  <c r="M302" s="1"/>
  <c r="K304"/>
  <c r="K302" s="1"/>
  <c r="L134"/>
  <c r="M134"/>
  <c r="K134"/>
  <c r="M60" i="8" l="1"/>
  <c r="M59" s="1"/>
  <c r="M53" s="1"/>
  <c r="K60"/>
  <c r="K59" s="1"/>
  <c r="L60"/>
  <c r="L59" s="1"/>
  <c r="L53" s="1"/>
  <c r="L133" i="1"/>
  <c r="M133"/>
  <c r="K133"/>
  <c r="K53" i="8" l="1"/>
  <c r="K26" s="1"/>
  <c r="R75" i="1"/>
  <c r="Q75"/>
  <c r="J13" i="5" l="1"/>
  <c r="J11" s="1"/>
  <c r="I13"/>
  <c r="I11" s="1"/>
  <c r="H13"/>
  <c r="H11" s="1"/>
  <c r="I14" l="1"/>
  <c r="J14"/>
  <c r="H14"/>
  <c r="J11" i="4"/>
  <c r="J9" s="1"/>
  <c r="I11"/>
  <c r="I9" s="1"/>
  <c r="H11"/>
  <c r="H9" s="1"/>
  <c r="J8"/>
  <c r="J6" s="1"/>
  <c r="J12" s="1"/>
  <c r="I8"/>
  <c r="I6" s="1"/>
  <c r="H8"/>
  <c r="H6" s="1"/>
  <c r="I12" l="1"/>
  <c r="H12"/>
  <c r="L32" i="1" l="1"/>
  <c r="L129"/>
  <c r="M129"/>
  <c r="L131"/>
  <c r="M131"/>
  <c r="K131"/>
  <c r="K129"/>
  <c r="L126"/>
  <c r="M126"/>
  <c r="K126"/>
  <c r="L122"/>
  <c r="M122"/>
  <c r="L124"/>
  <c r="M124"/>
  <c r="K124"/>
  <c r="K122"/>
  <c r="L112"/>
  <c r="M112"/>
  <c r="K112"/>
  <c r="K51"/>
  <c r="L51"/>
  <c r="M51"/>
  <c r="K45"/>
  <c r="L45"/>
  <c r="M45"/>
  <c r="L41"/>
  <c r="M41"/>
  <c r="K38"/>
  <c r="L38"/>
  <c r="M38"/>
  <c r="K35"/>
  <c r="L35"/>
  <c r="M35"/>
  <c r="K32"/>
  <c r="K28" s="1"/>
  <c r="M32"/>
  <c r="K29"/>
  <c r="L29"/>
  <c r="M29"/>
  <c r="K128" l="1"/>
  <c r="K116"/>
  <c r="L116"/>
  <c r="M116"/>
  <c r="L128"/>
  <c r="M128"/>
  <c r="M92"/>
  <c r="L92"/>
  <c r="K92"/>
  <c r="L28"/>
  <c r="M28"/>
  <c r="M54" l="1"/>
  <c r="L54"/>
  <c r="K54" l="1"/>
  <c r="K27" s="1"/>
  <c r="L26" s="1"/>
  <c r="L25" i="8" l="1"/>
  <c r="L26" s="1"/>
  <c r="L27" i="1"/>
  <c r="M26" s="1"/>
  <c r="M25" i="8" l="1"/>
  <c r="M26" s="1"/>
  <c r="M27" i="1"/>
</calcChain>
</file>

<file path=xl/sharedStrings.xml><?xml version="1.0" encoding="utf-8"?>
<sst xmlns="http://schemas.openxmlformats.org/spreadsheetml/2006/main" count="2516" uniqueCount="603">
  <si>
    <t>Наименование показателя</t>
  </si>
  <si>
    <t>Код строки</t>
  </si>
  <si>
    <t xml:space="preserve">Код по бюджетной классификации Российской Федерации </t>
  </si>
  <si>
    <t xml:space="preserve">Аналитический код </t>
  </si>
  <si>
    <t>Сумма</t>
  </si>
  <si>
    <t>на 20</t>
  </si>
  <si>
    <t xml:space="preserve">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</si>
  <si>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</si>
  <si>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</si>
  <si>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</si>
  <si>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</si>
  <si>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</si>
  <si>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</si>
  <si>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</si>
  <si>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</si>
  <si>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</si>
  <si>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</si>
  <si>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</si>
  <si>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</si>
  <si>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 xml:space="preserve">Остаток средств на начало текущего финансового года </t>
  </si>
  <si>
    <t>0001</t>
  </si>
  <si>
    <t>х</t>
  </si>
  <si>
    <t xml:space="preserve">Остаток средств на конец текущего финансового года 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</si>
  <si>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</si>
  <si>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</si>
  <si>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</si>
  <si>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</si>
  <si>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</si>
  <si>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</si>
  <si>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</si>
  <si>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</si>
  <si>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</si>
  <si>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</si>
  <si>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</si>
  <si>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 xml:space="preserve">в том числе:
субсидии на финансовое обеспечение выполнения муниципального задания </t>
  </si>
  <si>
    <t>1210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</si>
  <si>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</si>
  <si>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</si>
  <si>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</si>
  <si>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</si>
  <si>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</si>
  <si>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</si>
  <si>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</si>
  <si>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</si>
  <si>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</si>
  <si>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</si>
  <si>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1510</t>
  </si>
  <si>
    <t>целевые субсидии</t>
  </si>
  <si>
    <t>доходы от иной приносящей доход деятельности, всего</t>
  </si>
  <si>
    <t>1900</t>
  </si>
  <si>
    <t xml:space="preserve">прочие поступления, всего 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</si>
  <si>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</si>
  <si>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</si>
  <si>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</si>
  <si>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</si>
  <si>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</si>
  <si>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</si>
  <si>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</si>
  <si>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</si>
  <si>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</si>
  <si>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</si>
  <si>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</si>
  <si>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</si>
  <si>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</si>
  <si>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</si>
  <si>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</si>
  <si>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</si>
  <si>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</si>
  <si>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</si>
  <si>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</si>
  <si>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</si>
  <si>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</si>
  <si>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</si>
  <si>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</si>
  <si>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</si>
  <si>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</si>
  <si>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</si>
  <si>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</si>
  <si>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</si>
  <si>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</si>
  <si>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</si>
  <si>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</si>
  <si>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</si>
  <si>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</si>
  <si>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</si>
  <si>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</si>
  <si>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</si>
  <si>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</si>
  <si>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</si>
  <si>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 xml:space="preserve">расходы на закупку товаров, работ, услуг, всего 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</si>
  <si>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</si>
  <si>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</si>
  <si>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</si>
  <si>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</si>
  <si>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</si>
  <si>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</si>
  <si>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</si>
  <si>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</si>
  <si>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</si>
  <si>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</si>
  <si>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</si>
  <si>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</si>
  <si>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</si>
  <si>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</si>
  <si>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 xml:space="preserve">Прочие выплаты, всего </t>
  </si>
  <si>
    <t>4000</t>
  </si>
  <si>
    <t>из них:
возврат в бюджет средств субсидии</t>
  </si>
  <si>
    <t>4010</t>
  </si>
  <si>
    <t>610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</si>
  <si>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</si>
  <si>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</si>
  <si>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</si>
  <si>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</si>
  <si>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</si>
  <si>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</si>
  <si>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</si>
  <si>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383</t>
  </si>
  <si>
    <t>Раздел 1. Поступления и выплаты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</si>
  <si>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</si>
  <si>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</si>
  <si>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</si>
  <si>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</si>
  <si>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</si>
  <si>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>"Утверждаю"</t>
  </si>
  <si>
    <t xml:space="preserve">Раздел 2. Сведения по выплатам на закупки товаров, работ, услуг </t>
  </si>
  <si>
    <t>№
п/п</t>
  </si>
  <si>
    <t>Коды
строк</t>
  </si>
  <si>
    <t>Год
начала закупки</t>
  </si>
  <si>
    <t>(текущий финансовый год)</t>
  </si>
  <si>
    <t>(первый год планового периода)</t>
  </si>
  <si>
    <t>(второй год планового периода)</t>
  </si>
  <si>
    <t xml:space="preserve">Выплаты на закупку товаров, работ, услуг, всего 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</si>
  <si>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</si>
  <si>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</si>
  <si>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
ст. 5135) (далее - Федеральный закон № 223-ФЗ)</t>
  </si>
  <si>
    <t>26100</t>
  </si>
  <si>
    <t>1.2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</si>
  <si>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</t>
  </si>
  <si>
    <t>26200</t>
  </si>
  <si>
    <t>1.3</t>
  </si>
  <si>
    <t xml:space="preserve">по контрактам (договорам), заключенным до начала текущего финансового года с учетом требований Федерального закона № 44-ФЗ и Федерального закона № 223-ФЗ </t>
  </si>
  <si>
    <t>26300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</si>
  <si>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</si>
  <si>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</si>
  <si>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26400</t>
  </si>
  <si>
    <t>1.4.1</t>
  </si>
  <si>
    <t>в том числе:
за счет субсидий, предоставляемых на финансовое обеспечение выполнения муниципального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</si>
  <si>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</si>
  <si>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</si>
  <si>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</si>
  <si>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</si>
  <si>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</si>
  <si>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 xml:space="preserve">в соответствии с Федеральным законом № 223-ФЗ 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</si>
  <si>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</si>
  <si>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</si>
  <si>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</si>
  <si>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</si>
  <si>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</si>
  <si>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</si>
  <si>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</si>
  <si>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</si>
  <si>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</si>
  <si>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 xml:space="preserve">за счет субсидий, предоставляемых на осуществление капитальных вложений </t>
  </si>
  <si>
    <t>26430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</si>
  <si>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</si>
  <si>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</si>
  <si>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</si>
  <si>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</si>
  <si>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</si>
  <si>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</si>
  <si>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в соответствии с Федеральным законом № 223-ФЗ</t>
  </si>
  <si>
    <t>26452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</si>
  <si>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</si>
  <si>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</si>
  <si>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</si>
  <si>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</si>
  <si>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</si>
  <si>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</si>
  <si>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</si>
  <si>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</si>
  <si>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</si>
  <si>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</si>
  <si>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</si>
  <si>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(телефон)</t>
  </si>
  <si>
    <t>СОГЛАСОВАНО</t>
  </si>
  <si>
    <t>(наименование должности уполномоченного лица органа-учредителя)</t>
  </si>
  <si>
    <t>родительская плата</t>
  </si>
  <si>
    <t>возмещение</t>
  </si>
  <si>
    <t>платные услуги</t>
  </si>
  <si>
    <t>04.02.000</t>
  </si>
  <si>
    <t>12101Z1053</t>
  </si>
  <si>
    <t>1210376210</t>
  </si>
  <si>
    <t>1210821090</t>
  </si>
  <si>
    <t>1211121130</t>
  </si>
  <si>
    <t>1211821190</t>
  </si>
  <si>
    <t>на 2020 год</t>
  </si>
  <si>
    <t>на 2021 год</t>
  </si>
  <si>
    <t>на 2022 год</t>
  </si>
  <si>
    <t>20</t>
  </si>
  <si>
    <t>21</t>
  </si>
  <si>
    <t>22</t>
  </si>
  <si>
    <t>( на 2020 г. и плановый период 2021 и 2022 годов)</t>
  </si>
  <si>
    <t>Расчеты (обоснования) выплат к плану финансово-хозяйственной деятельности муниципального бюджетного и автономного учреждения учреждения</t>
  </si>
  <si>
    <t>Код видов расходов</t>
  </si>
  <si>
    <t xml:space="preserve">Источник финансового обеспечения </t>
  </si>
  <si>
    <t xml:space="preserve">1. Расчеты (обоснования) выплат персоналу </t>
  </si>
  <si>
    <t>1.1. Расчеты (обоснования) расходов на оплату труда</t>
  </si>
  <si>
    <t>Должность, 
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</si>
  <si>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</si>
  <si>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</si>
  <si>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Ежемесячная надбавка к должностному окладу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</si>
  <si>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</si>
  <si>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</si>
  <si>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</si>
  <si>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</si>
  <si>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итого</t>
  </si>
  <si>
    <t>1.2. Расчеты (обоснования) выплат персоналу при направлении в служебные командировки</t>
  </si>
  <si>
    <t>№ п/п</t>
  </si>
  <si>
    <t>Наименование 
расходов</t>
  </si>
  <si>
    <t>Средний размер выплаты на одного работника в день, руб.</t>
  </si>
  <si>
    <t>Количество работников, 
чел.</t>
  </si>
  <si>
    <t>Количество 
дней</t>
  </si>
  <si>
    <t>Сумма, руб. 
(гр. 3 x гр. 4 x 
гр. 5) 20____ г</t>
  </si>
  <si>
    <t>1.3.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</si>
  <si>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</si>
  <si>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
для начисления страховых взносов, руб.</t>
  </si>
  <si>
    <t>Страховые взносы в Пенсионный фонд Российской Федерации, всего</t>
  </si>
  <si>
    <t>по ставке 22,0%</t>
  </si>
  <si>
    <t>Страховые взносы в Фонд социального страхования Российской Федерации, всего</t>
  </si>
  <si>
    <t>обязательное социальное страхование на случай временной нетрудоспособности и в связи с материнством по ставке 2,9%</t>
  </si>
  <si>
    <t>обязательное социальное страхование от несчастных случаев на производстве и профессиональных заболеваний по ставке 0,2%</t>
  </si>
  <si>
    <t>Страховые взносы в Федеральный фонд обязательного медицинского страхования, всего (по ставке 5,1%)</t>
  </si>
  <si>
    <t>2. Расчеты (обоснования) расходов на социальные и иные выплаты населению</t>
  </si>
  <si>
    <t>Размер одной выплаты, руб.</t>
  </si>
  <si>
    <t>Количество 
выплат в год</t>
  </si>
  <si>
    <t>3. Расчет (обоснование) расходов на уплату налогов, сборов и иных платежей</t>
  </si>
  <si>
    <t>Наименование расходов</t>
  </si>
  <si>
    <t>Налоговая база, руб.</t>
  </si>
  <si>
    <t>Ставка налога, 
%</t>
  </si>
  <si>
    <t>4. Расчет (обоснование) прочих расходов 
(кроме расходов на закупку товаров, работ, услуг)</t>
  </si>
  <si>
    <t>Размер одной выплаты, руб</t>
  </si>
  <si>
    <t>Общая сумма выплат,  руб. 
20________г</t>
  </si>
  <si>
    <t>5. Расчет (обоснование) расходов на закупку товаров, работ, услуг</t>
  </si>
  <si>
    <t>5.1. Расчет (обоснование) расходов на оплату услуг связи</t>
  </si>
  <si>
    <t>Количество номеров, минут</t>
  </si>
  <si>
    <t>Количество платежей в год</t>
  </si>
  <si>
    <t>Стоимость за единицу, руб.</t>
  </si>
  <si>
    <t>5.2. Расчет (обоснование) расходов на оплату транспортных услуг</t>
  </si>
  <si>
    <t>Количество 
услуг 
перевозки</t>
  </si>
  <si>
    <t>Цена услуги перевозки, 
руб.</t>
  </si>
  <si>
    <t>5.3. Расчет (обоснование) расходов на оплату коммунальных услуг</t>
  </si>
  <si>
    <t>Размер потребления ресурсов</t>
  </si>
  <si>
    <t>Тариф 
(с учетом НДС), руб.</t>
  </si>
  <si>
    <t>Индексация, 
%</t>
  </si>
  <si>
    <t>5.4. Расчет (обоснование) расходов на оплату аренды имущества</t>
  </si>
  <si>
    <t>Количество</t>
  </si>
  <si>
    <t>Ставка 
арендной 
платы</t>
  </si>
  <si>
    <t>Стоимость 
с учетом НДС, 
руб.
20________г</t>
  </si>
  <si>
    <t>5.5. Расчет (обоснование) расходов на оплату работ, услуг по содержанию имущества</t>
  </si>
  <si>
    <t>Количество договоров</t>
  </si>
  <si>
    <t>Средняя стоимость, руб.</t>
  </si>
  <si>
    <t>5.6. Расчет (обоснование) расходов на оплату прочих работ, услуг</t>
  </si>
  <si>
    <t>5.7. Расчет (обоснование) расходов на приобретение основных средств, материальных запасов</t>
  </si>
  <si>
    <t>ВСЕГО</t>
  </si>
  <si>
    <t xml:space="preserve">    (должность)</t>
  </si>
  <si>
    <t xml:space="preserve">     (подпись)</t>
  </si>
  <si>
    <t xml:space="preserve">                              (расшифровка подписи)</t>
  </si>
  <si>
    <t xml:space="preserve">   (должность)</t>
  </si>
  <si>
    <t>Обоснование (расчет) доходов от использования собственности (аренда)</t>
  </si>
  <si>
    <t>Наименование дохода</t>
  </si>
  <si>
    <t>Плата (тариф, ставка) арендной платы за единицу площади ( 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</si>
  <si>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</si>
  <si>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</si>
  <si>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Остаток денежных средств, сложившийся на 01.01.20___г.</t>
  </si>
  <si>
    <t>_</t>
  </si>
  <si>
    <t>Кредиторская задолженность, сложившаяся на 01.01.20___г.  по доходам, а также полученные на начало текущего финансового года предварительные платежи (аванс)</t>
  </si>
  <si>
    <t>Недвижимое имущество,всего:</t>
  </si>
  <si>
    <t>…</t>
  </si>
  <si>
    <t>Движимое имущество,всего:</t>
  </si>
  <si>
    <t>ИТОГО:</t>
  </si>
  <si>
    <t>Приложение№3</t>
  </si>
  <si>
    <t>к Порядку составления и утверждения плана финансово-хозяйственной
деятельности муниципальных бюджетных и автономных учреждений города Пензы, в отношении которых функции и полномочия учредителя осуществляет Управление образования города Пензы, утвержденному
приказом Управления образования города Пензы
от ____30.12.2019____№__216___</t>
  </si>
  <si>
    <t>Обоснование (расчет) доходов в виде возмещения расходов, понесенных в связи с эксплуатацией государственного (муниципального) имущества</t>
  </si>
  <si>
    <t>Планируемая стоимость услуг (возмещаемых расходов), руб.</t>
  </si>
  <si>
    <t xml:space="preserve">Обоснование (расчет) доходов от иной приносящей доход деятельности </t>
  </si>
  <si>
    <t>Справочно:</t>
  </si>
  <si>
    <t>Среднее количество поступлений (дней) за последние три года</t>
  </si>
  <si>
    <t>Количество детей, получаемых услугу, чел.</t>
  </si>
  <si>
    <t>Плата (тариф, ставка)  за единицу услуги (работы), руб.</t>
  </si>
  <si>
    <t>Размер поступлений за последние три года</t>
  </si>
  <si>
    <t>Доход от реализации продуктов питания, произведенных столовой общеобразовательного учреждения</t>
  </si>
  <si>
    <t>Сведения о нормативно-правовых актах, устанавливающих размер платы (тарифа) платной дополнительной услуги</t>
  </si>
  <si>
    <t xml:space="preserve">Вид </t>
  </si>
  <si>
    <t xml:space="preserve"> Номер</t>
  </si>
  <si>
    <t>Наименование</t>
  </si>
  <si>
    <t>Бюджет города Пензы</t>
  </si>
  <si>
    <t>Сумма, руб. 
(гр. 3 x гр. 4 x 
гр. 5) 2020 г</t>
  </si>
  <si>
    <t>Сумма, руб. 
(гр. 3 x гр. 4 x 
гр. 5) 2021 г</t>
  </si>
  <si>
    <t>Сумма, руб. 
(гр. 3 x гр. 4 x 
гр. 5) 2022 г</t>
  </si>
  <si>
    <t>Сумма, руб. 
 2020 г</t>
  </si>
  <si>
    <t>Сумма, руб. 
 2021 г</t>
  </si>
  <si>
    <t>Сумма, руб. 
 2022 г</t>
  </si>
  <si>
    <t>административно-управленческий</t>
  </si>
  <si>
    <t>педагогический</t>
  </si>
  <si>
    <t>прочий персонал</t>
  </si>
  <si>
    <t>Фонд оплаты труда в год с k , руб 2020 г</t>
  </si>
  <si>
    <t>Фонд оплаты труда в год с k , руб 2021 г</t>
  </si>
  <si>
    <t>Фонд оплаты труда в год с k , руб 2022 г</t>
  </si>
  <si>
    <t>Пособие до 3-х лет</t>
  </si>
  <si>
    <t>Налог на землю</t>
  </si>
  <si>
    <t>Налог на имущество</t>
  </si>
  <si>
    <t>Сумма исчисленного 
налога, подлежащего 
уплате, руб. 
2020 г</t>
  </si>
  <si>
    <t>Сумма исчисленного 
налога, подлежащего 
уплате, руб. 
2021г</t>
  </si>
  <si>
    <t>Сумма исчисленного 
налога, подлежащего 
уплате, руб. 
2022 г</t>
  </si>
  <si>
    <t>Договор №</t>
  </si>
  <si>
    <t>абоненская плата</t>
  </si>
  <si>
    <t>поминутная плата</t>
  </si>
  <si>
    <t>интернет</t>
  </si>
  <si>
    <t>221</t>
  </si>
  <si>
    <t>222</t>
  </si>
  <si>
    <t>223</t>
  </si>
  <si>
    <t>225</t>
  </si>
  <si>
    <t>226</t>
  </si>
  <si>
    <t>310</t>
  </si>
  <si>
    <t>346</t>
  </si>
  <si>
    <t>344</t>
  </si>
  <si>
    <t>342</t>
  </si>
  <si>
    <t>211</t>
  </si>
  <si>
    <t>266</t>
  </si>
  <si>
    <t xml:space="preserve">1210171053 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</si>
  <si>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</si>
  <si>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</si>
  <si>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из них:
пособия, компенсации и иные социальные выплаты гражданам, кроме публичных нормативных обязательств</t>
  </si>
  <si>
    <t>2200</t>
  </si>
  <si>
    <t>300</t>
  </si>
  <si>
    <t>2210</t>
  </si>
  <si>
    <t>2211</t>
  </si>
  <si>
    <t>320</t>
  </si>
  <si>
    <t>321</t>
  </si>
  <si>
    <t>264</t>
  </si>
  <si>
    <t>ПРОВЕРКА</t>
  </si>
  <si>
    <t>213</t>
  </si>
  <si>
    <t>План финансово-хозяйственной деятельности на 2020 г.</t>
  </si>
  <si>
    <t>1210521010</t>
  </si>
  <si>
    <t>1210476240</t>
  </si>
  <si>
    <t>121Е576240</t>
  </si>
  <si>
    <t>1211074342</t>
  </si>
  <si>
    <t>1210921170</t>
  </si>
  <si>
    <t>1211221140</t>
  </si>
  <si>
    <t>1211721050</t>
  </si>
  <si>
    <t>1212078030</t>
  </si>
  <si>
    <t>1210621180</t>
  </si>
  <si>
    <t>291</t>
  </si>
  <si>
    <t>Договор №   от ____</t>
  </si>
  <si>
    <t>договор № ___от ________</t>
  </si>
  <si>
    <t>ФГУП Охрана дог.№ от_____</t>
  </si>
  <si>
    <t>205 руб. * 12 мес.=2460</t>
  </si>
  <si>
    <t>ООО Чернобылец дог.№ от_____</t>
  </si>
  <si>
    <t>пожарная сигнализация</t>
  </si>
  <si>
    <t>1200 руб. * 12 мес.=14400</t>
  </si>
  <si>
    <t>договор №   от _____</t>
  </si>
  <si>
    <t>бумага</t>
  </si>
  <si>
    <t>Пособие по б/л ( 3 дня)</t>
  </si>
  <si>
    <t xml:space="preserve"> </t>
  </si>
  <si>
    <t xml:space="preserve">ФЗП на 01.01.20 </t>
  </si>
  <si>
    <t>974</t>
  </si>
  <si>
    <t>платные дополнительные образовательные услуги</t>
  </si>
  <si>
    <t>возмещение коммунальных затрат</t>
  </si>
  <si>
    <t>228</t>
  </si>
  <si>
    <t>из них:  Услуги свзи</t>
  </si>
  <si>
    <t>Коммунальные услуги</t>
  </si>
  <si>
    <t>Работы, услуги по содержанию имущества</t>
  </si>
  <si>
    <t>прочие работы, услуги</t>
  </si>
  <si>
    <t>Услуги , работы для целей капитальных вложений</t>
  </si>
  <si>
    <t>Увеличение стоимости основных средств</t>
  </si>
  <si>
    <t>Увеличение стоимости строительных материалов</t>
  </si>
  <si>
    <t>Увеличение стоимоти прочих материальных запасов</t>
  </si>
  <si>
    <t>Увеличение стоимоти прочих материальных запасов однократного применения</t>
  </si>
  <si>
    <t>возмещение коммунальных затрат от ипользования помещений</t>
  </si>
  <si>
    <t>на 2020 г.  текущий финансовый год</t>
  </si>
  <si>
    <t xml:space="preserve">на 2021 г.  первый год планового периода </t>
  </si>
  <si>
    <t xml:space="preserve">на 2022 г.  второй год планового периода </t>
  </si>
  <si>
    <t xml:space="preserve">на 2022г.  второй год планового периода </t>
  </si>
  <si>
    <t>2017 г.</t>
  </si>
  <si>
    <t>2018 г.</t>
  </si>
  <si>
    <t>2019г.</t>
  </si>
  <si>
    <t>среднее количество указанных поступлений за 2017-2018гг.</t>
  </si>
  <si>
    <t>Остаток денежных средств, сложившийся на 01.01.2020г.</t>
  </si>
  <si>
    <t>Кредиторская задолженность, сложившаяся на 01.01.2020г.  по доходам, а также полученные на начало текущего финансового года предварительные платежи (аванс)</t>
  </si>
  <si>
    <t>Родительская плата за обеспечение отдыха и оздоровления обучающихся в лагерях с дневным пребыванием в каникулярное время (весна)</t>
  </si>
  <si>
    <t>Родительская плата за обеспечение отдыха и оздоровления обучающихся в лагерях с дневным пребыванием в каникулярное время (лето)</t>
  </si>
  <si>
    <t>Постановление администрации города Пензы</t>
  </si>
  <si>
    <t>Орган, осуществляющий</t>
  </si>
  <si>
    <t>функции и полномочия учредителя</t>
  </si>
  <si>
    <t>Управление образования города Пензы</t>
  </si>
  <si>
    <t>Учреждение</t>
  </si>
  <si>
    <t>Единица измерения: руб.</t>
  </si>
  <si>
    <t>04.04.000</t>
  </si>
  <si>
    <t>04.04.00</t>
  </si>
  <si>
    <t xml:space="preserve">родительская плата </t>
  </si>
  <si>
    <t>1210121020</t>
  </si>
  <si>
    <t>Заведующий</t>
  </si>
  <si>
    <t>столовая (питание сотрудников)</t>
  </si>
  <si>
    <t>"Здоровячок"</t>
  </si>
  <si>
    <t>"Фантазия"</t>
  </si>
  <si>
    <t>"Развивайка"</t>
  </si>
  <si>
    <t>"Умелые ручки"</t>
  </si>
  <si>
    <t>"Речевичок "</t>
  </si>
  <si>
    <t>"Веселые ритмы"</t>
  </si>
  <si>
    <t>"Забавушка"</t>
  </si>
  <si>
    <t>"Занимательная математика"</t>
  </si>
  <si>
    <t>"Говорушка"</t>
  </si>
  <si>
    <t>"АБВГДейка"</t>
  </si>
  <si>
    <t>"Топотушка"</t>
  </si>
  <si>
    <t>"Юные умельцы"</t>
  </si>
  <si>
    <t>"Мир в ладошках"</t>
  </si>
  <si>
    <t>"Маленькие звездочки"</t>
  </si>
  <si>
    <t>"Всезнайка"</t>
  </si>
  <si>
    <t>"Малыши-крепыши"</t>
  </si>
  <si>
    <t>"Грамотейка"</t>
  </si>
  <si>
    <t>"Литературный калейдоскоп"</t>
  </si>
  <si>
    <t>"Акварелька"</t>
  </si>
  <si>
    <t>"Маленькие художники"</t>
  </si>
  <si>
    <t>"Волшебные краски"</t>
  </si>
  <si>
    <t>Плата, взимаемая с родителей (законных представителей) за присмотр и уход за детьми, осваивающими образовательные программы дошкольного образования (от 3-х до 7 лет)</t>
  </si>
  <si>
    <t>Плата, взимаемая с родителей (законных представителей) за присмотр и уход за детьми, осваивающими образовательные программы дошкольного образования (до 3-х лет)</t>
  </si>
  <si>
    <t>об установлении тарифов на платные  услуги, предоставляемые муниципальным бюджетным  дошкольным образовательным учреждение детским садом комбинированного вида № 56 г. Пензы</t>
  </si>
  <si>
    <t>1713/6</t>
  </si>
  <si>
    <t>об установлении тарифов на платные дополнительные  образовательные услуги, предоставляемые Муниципальным бюджетным  дошкольным образовательным учреждением детским садом  № 56 города Пензы "Капитошка"</t>
  </si>
  <si>
    <r>
      <t xml:space="preserve">Наименования учреждения </t>
    </r>
    <r>
      <rPr>
        <sz val="11"/>
        <color rgb="FFFF0000"/>
        <rFont val="Times New Roman"/>
        <family val="1"/>
        <charset val="204"/>
      </rPr>
      <t>МБДОУ № 56 г. Пензы</t>
    </r>
  </si>
  <si>
    <t>Номер</t>
  </si>
  <si>
    <t>электроэнергия</t>
  </si>
  <si>
    <t>Отопление</t>
  </si>
  <si>
    <t>ХВС и водоотведение</t>
  </si>
  <si>
    <t>ГВС</t>
  </si>
  <si>
    <t>услуги с ТКО</t>
  </si>
  <si>
    <t xml:space="preserve"> тех.обслуж.сигнализации</t>
  </si>
  <si>
    <t>261,2 руб. *2 зд. * 12 мес.=6268,80</t>
  </si>
  <si>
    <t xml:space="preserve">дератизация </t>
  </si>
  <si>
    <t>3613кв.м*0,2 руб.*12мес.= 8671,20</t>
  </si>
  <si>
    <t xml:space="preserve">АПС </t>
  </si>
  <si>
    <t>1580руб.*2зд.*12мес.=37920</t>
  </si>
  <si>
    <t>техн. обсл. видеонаблюдения</t>
  </si>
  <si>
    <t>250руб.*11 камер*12 мес.=33000</t>
  </si>
  <si>
    <t xml:space="preserve">тех.обслуж. средств радиомодема прямой связи </t>
  </si>
  <si>
    <t>1100 руб.*2зд.*12мес.=26400</t>
  </si>
  <si>
    <t xml:space="preserve">тех. обслуж.  Теплосчетчиков </t>
  </si>
  <si>
    <t>1605,26 руб.*2 зд.*12 мес.=38526,24</t>
  </si>
  <si>
    <t xml:space="preserve">тех. обслуж. узлов регулир-ния </t>
  </si>
  <si>
    <t>2912 руб.*8 мес.=23296</t>
  </si>
  <si>
    <t xml:space="preserve">замер сопротив-ления </t>
  </si>
  <si>
    <t>1 раз * 7000 руб.=7000</t>
  </si>
  <si>
    <t xml:space="preserve">огнезащит. обработка </t>
  </si>
  <si>
    <t>1 раз * 6000 руб.=6000</t>
  </si>
  <si>
    <t xml:space="preserve">промывка, опрессовка </t>
  </si>
  <si>
    <t>2 зд.*10000 руб.=20000</t>
  </si>
  <si>
    <t xml:space="preserve">поверка весов, манометров </t>
  </si>
  <si>
    <t>1 раз * 9780 руб.=9780</t>
  </si>
  <si>
    <t xml:space="preserve">испытание наружных пожарных лестниц и ограждений </t>
  </si>
  <si>
    <t>1 раз * 9000 руб.=9000</t>
  </si>
  <si>
    <t xml:space="preserve">обследование тех.состояния вентил.каналов </t>
  </si>
  <si>
    <t>1 раз * 3000 руб.=3000</t>
  </si>
  <si>
    <t>Проверка , то пожарного гидранта, водопровода, крана</t>
  </si>
  <si>
    <t>1 раз * 8000 руб.=8000</t>
  </si>
  <si>
    <t>Перекатка рукавов, определение взрыво-пожароопасности</t>
  </si>
  <si>
    <t>4 шт. * 300 руб.=1200</t>
  </si>
  <si>
    <t xml:space="preserve">Испытание пожарных рукавов </t>
  </si>
  <si>
    <t xml:space="preserve">Поверка теплосчетчиков, ХВС,ГВС </t>
  </si>
  <si>
    <t>1 раз * 32635 руб.=32635</t>
  </si>
  <si>
    <t xml:space="preserve">дезинсекция, обработка территории </t>
  </si>
  <si>
    <t>охрана</t>
  </si>
  <si>
    <t>2131,60 руб. * 12 мес.=25579,20</t>
  </si>
  <si>
    <t>медосмотр      222200</t>
  </si>
  <si>
    <t>140 чел. * 1250 руб.=175000</t>
  </si>
  <si>
    <t>14 чел. * 1040 руб.=14560</t>
  </si>
  <si>
    <t>53 чел. *180 руб.=9540</t>
  </si>
  <si>
    <t>154 чел. * 150 руб.=23100</t>
  </si>
  <si>
    <t>програмное обеспечение 1С бухгалтерия</t>
  </si>
  <si>
    <t>2818руб.*4мес.=11272</t>
  </si>
  <si>
    <t>электронная отчетность</t>
  </si>
  <si>
    <t>1 год * 4450 руб.=4450</t>
  </si>
  <si>
    <t>утилизация отходов (ртутосодержащие лампы)</t>
  </si>
  <si>
    <t>12руб. *200 шт.=2400</t>
  </si>
  <si>
    <t>перевыпуск сертификатов ЭЦП</t>
  </si>
  <si>
    <t>1 год*2500руб.=2500</t>
  </si>
  <si>
    <t>Физическая охрана ( ЧОП )</t>
  </si>
  <si>
    <t>100 руб.*2 зд.*2916 часов=583200</t>
  </si>
  <si>
    <t>хозяйственные товары</t>
  </si>
  <si>
    <t>58-87-06</t>
  </si>
  <si>
    <t xml:space="preserve">              "09" января 2020 г.</t>
  </si>
  <si>
    <t>дотационное питание (до 3 лет)</t>
  </si>
  <si>
    <t>от 3 до 7 лет</t>
  </si>
  <si>
    <t>одинокие матери</t>
  </si>
  <si>
    <t>дети из многодетных семей* 100%</t>
  </si>
  <si>
    <t>дети-инвалиды, дети ЗПР* 100%</t>
  </si>
  <si>
    <t>родители инвалиды (I, II, III групп) * 100%</t>
  </si>
  <si>
    <t>5.6. Расчет (обоснование) расходов на оплату прочих работ, услуг (Услуги, работы для целей капитальных вложений)</t>
  </si>
  <si>
    <t>Бюджет Пензенской области</t>
  </si>
  <si>
    <t>Видеонаблюдение</t>
  </si>
  <si>
    <t>Охранная сигнализация</t>
  </si>
  <si>
    <t>5834015324</t>
  </si>
  <si>
    <t>583401001</t>
  </si>
  <si>
    <t>Муниципальное бюджетное дошкольное образовательное учреждение детский сад № 56 города Пензы «Капитошка»</t>
  </si>
  <si>
    <t xml:space="preserve">ФЗП на 01.01.2020 </t>
  </si>
  <si>
    <t xml:space="preserve">ФЗП на 01.09.2020 </t>
  </si>
  <si>
    <t>Ускова Н.П.</t>
  </si>
  <si>
    <t>345</t>
  </si>
  <si>
    <t xml:space="preserve">ФЗП на 01.09.20 </t>
  </si>
  <si>
    <t xml:space="preserve">ФЗП на 01.08.2020 </t>
  </si>
  <si>
    <t xml:space="preserve">ФЗП на 01.10.2020 </t>
  </si>
  <si>
    <t xml:space="preserve">ФЗП на 01.10.20 </t>
  </si>
  <si>
    <t>Повышение квалификации</t>
  </si>
  <si>
    <t>2564 руб. * 1 чел.=2564</t>
  </si>
  <si>
    <t>3000 руб. * 10 чел.=30000</t>
  </si>
  <si>
    <t xml:space="preserve"> игрушки, шт.</t>
  </si>
  <si>
    <t>Главный бухгалтер</t>
  </si>
  <si>
    <t xml:space="preserve">         Исполнитель</t>
  </si>
  <si>
    <t>Сизова Л.Г.</t>
  </si>
  <si>
    <t>Ю.А. Голодяев</t>
  </si>
  <si>
    <t>.Сизова Л.Г.</t>
  </si>
  <si>
    <t>Бюджет города Пензенской области</t>
  </si>
  <si>
    <t>Иная приносящая доход деятельность</t>
  </si>
  <si>
    <t>заправка картриджей</t>
  </si>
  <si>
    <t>250 руб.*32 шт.=7000,00</t>
  </si>
  <si>
    <t>230 руб.*35 шт.=8000,00</t>
  </si>
  <si>
    <t>курсы пошения квалификации</t>
  </si>
  <si>
    <t>Приобретение продуктов питания</t>
  </si>
  <si>
    <t>Приобретение строительных материалов</t>
  </si>
  <si>
    <t>50шт.=1000 руб.=50000</t>
  </si>
  <si>
    <t>Приобретение мягкого инвентаря</t>
  </si>
  <si>
    <t>Итого 70000,00</t>
  </si>
  <si>
    <t>Приобретение прочих оборотных материалов</t>
  </si>
  <si>
    <t>Итого 15000</t>
  </si>
  <si>
    <t>53 чел. *11,66 руб.*246 дней = 152023,08</t>
  </si>
  <si>
    <t>244чел.*15,33 руб.*246 дней=920167,92</t>
  </si>
  <si>
    <t>2чел.*40руб.*246дней=19680</t>
  </si>
  <si>
    <t>6чел.*46руб.*246дней=67896</t>
  </si>
  <si>
    <t>5чел.*40*246=49200</t>
  </si>
  <si>
    <t>22чел.*46руб.*246дней=248952</t>
  </si>
  <si>
    <t>2чел.*92руб.*246=45264</t>
  </si>
  <si>
    <t>1чел.*80руб.*246дней=19680</t>
  </si>
  <si>
    <t>3чел.*92руб.*246дней=67896</t>
  </si>
  <si>
    <t>Приказ Управления города Пензы</t>
  </si>
  <si>
    <t>об установлении размера платы, взимаемой с родителей(законных представителей) за присмотр и уход за детьми, осваивающими образовательные программы дошкольного образования в муниципальных образовательных учреждениях города Пензы, реализующих основную общеобразовательную программу дошкольного образования</t>
  </si>
  <si>
    <t>Пособие при увольнении</t>
  </si>
  <si>
    <t>пособия, компенсации и иные социальные выплаты гражданам, кроме публичных нормативных обязательств</t>
  </si>
  <si>
    <t>Социальные пособия и компенсации персоналу в денежной форме</t>
  </si>
  <si>
    <t>Итого 6 046 680</t>
  </si>
  <si>
    <t>205 чел. * 246 дней*92руб.=4 639 560</t>
  </si>
  <si>
    <t>6чел.*44дня*92руб.=24 288</t>
  </si>
  <si>
    <t>40 чел.*246дней*80руб.=787 254,67</t>
  </si>
  <si>
    <t>5чел.*178дней*80руб.=71 200</t>
  </si>
  <si>
    <t>28чел.*246 дней*46руб.=316 848</t>
  </si>
  <si>
    <t>7чел.*246дней*40руб.=68 880</t>
  </si>
  <si>
    <t xml:space="preserve">              "03" марта 2020 г.</t>
  </si>
  <si>
    <t>ПСД на ремонт пищеблока</t>
  </si>
  <si>
    <t>Проверка достоверности определения сметной стоимости</t>
  </si>
  <si>
    <t>1 док.* 50 000руб.=50 000</t>
  </si>
  <si>
    <t>1 зд.* 230 000 руб.=230 000</t>
  </si>
  <si>
    <t>ремонт груп. помещений, сан.узлов</t>
  </si>
  <si>
    <t>лаб.иследования</t>
  </si>
  <si>
    <t>дог. № 45 от 27.01.2020г с ФБУЗ"Центр гигиены и эпидемиологии в Пенз обл</t>
  </si>
  <si>
    <t>дог. № 56/3 от 24.01.2020 с ГАПОУ ПО "Пензенский социально-педагогический колледж"</t>
  </si>
  <si>
    <t>1 чел * 2 100руб.=2 100</t>
  </si>
  <si>
    <t>дог. № 1z018391126/20Ш от 21.01.2020г с АНО ДПО "Учебный центр СКБ Контур"</t>
  </si>
  <si>
    <t>1 чел*4 800 руб.=4 800</t>
  </si>
  <si>
    <t>Электронные журналы</t>
  </si>
  <si>
    <t>дог. № 363333812 от 27.01.20120г с ООО "МЦФЭР-Пресс"</t>
  </si>
  <si>
    <t>1жур.* 8 976руб.=8 976</t>
  </si>
  <si>
    <t>2жур.*5 808руб.=11 616</t>
  </si>
  <si>
    <t>1жур.*6 996 руб.=6 996</t>
  </si>
  <si>
    <t>1 жур.*8 052руб.=8 052</t>
  </si>
  <si>
    <t>Итого: 49 236</t>
  </si>
  <si>
    <t>1жур.* 5 940руб.=5 940</t>
  </si>
  <si>
    <t>1 жур.*7 656руб.=7 656</t>
  </si>
  <si>
    <t>дог. № 56/4 от 10.02.2020г.с ГАОУДПО "Институт регион. развития Пенз.обл."</t>
  </si>
  <si>
    <t>1 чел.*1 436 руб.=1 436</t>
  </si>
  <si>
    <t>дог. № 036/ТСС/20 от 25.02.2020г с ООО "Технолинк Софт Сервис"</t>
  </si>
  <si>
    <t>Услуги по конс.сопровождению 1С:Бухгалтерия</t>
  </si>
  <si>
    <t>2ч.*1 500руб.=3000</t>
  </si>
  <si>
    <t>дог. №</t>
  </si>
  <si>
    <t>6чел.*2 744= 16464</t>
  </si>
  <si>
    <t>81809,06 руб.</t>
  </si>
  <si>
    <t>13 марта 2020 года</t>
  </si>
  <si>
    <t xml:space="preserve">              "13" марта 2020 г.</t>
  </si>
  <si>
    <t>дог. № 2077 от 07.02.2020г. С МКП "Теплоснабжение г. Пензы"</t>
  </si>
  <si>
    <t>дог. № 6 от 18.02.2020г. с ИП Сурова Е.В.</t>
  </si>
  <si>
    <t>наматрасник 226шт.*106,82=24141,32</t>
  </si>
  <si>
    <t>Дог. № 56/05 от 21.02.2020г.с ООО "ТендерСервис"</t>
  </si>
  <si>
    <t>КПБ детский 95шт.*482руб.=45790</t>
  </si>
  <si>
    <t>Полотенце 35*70 1шт.*68,68 руб.=68,68</t>
  </si>
  <si>
    <t>Итого:45858,68</t>
  </si>
  <si>
    <t>Дог. №56/4 от 10.02.2020 с ГАОУ ДПО ИРР ПО</t>
  </si>
  <si>
    <t>дог. № 1/20 от 20.02.2020г. С ИП Скуднова О.Я.</t>
  </si>
  <si>
    <t>1212121150</t>
  </si>
  <si>
    <t>установка пластиковых окон</t>
  </si>
  <si>
    <t xml:space="preserve">              "29" апреля 2020 г.</t>
  </si>
  <si>
    <t>15.06.2020</t>
  </si>
  <si>
    <t>"15" июня 2020</t>
  </si>
  <si>
    <t>от "15" июня 2020г.</t>
  </si>
  <si>
    <t>15</t>
  </si>
  <si>
    <t>июня</t>
  </si>
  <si>
    <t xml:space="preserve">              "15" июня 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</si>
</sst>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7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u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color rgb="FF000000"/>
      <name val="Arial Cyr"/>
    </font>
    <font>
      <sz val="10"/>
      <name val="MS Sans Serif"/>
      <family val="2"/>
      <charset val="204"/>
    </font>
    <font>
      <sz val="10"/>
      <name val="MS Sans Serif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4" fillId="0" borderId="0"/>
    <xf numFmtId="0" fontId="18" fillId="0" borderId="0"/>
    <xf numFmtId="4" fontId="29" fillId="0" borderId="70">
      <alignment horizontal="right" vertical="top" shrinkToFit="1"/>
    </xf>
    <xf numFmtId="0" fontId="30" fillId="0" borderId="0"/>
    <xf numFmtId="0" fontId="30" fillId="0" borderId="0"/>
    <xf numFmtId="0" fontId="31" fillId="0" borderId="0"/>
  </cellStyleXfs>
  <cellXfs count="718">
    <xf numFmtId="0" fontId="0" fillId="0" borderId="0" xfId="0"/>
    <xf numFmtId="49" fontId="1" fillId="0" borderId="3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49" fontId="1" fillId="0" borderId="36" xfId="0" applyNumberFormat="1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1" fillId="0" borderId="38" xfId="0" applyNumberFormat="1" applyFont="1" applyBorder="1" applyAlignment="1">
      <alignment horizontal="center"/>
    </xf>
    <xf numFmtId="0" fontId="6" fillId="0" borderId="0" xfId="0" applyFont="1"/>
    <xf numFmtId="0" fontId="2" fillId="0" borderId="0" xfId="1" applyNumberFormat="1" applyFont="1" applyBorder="1" applyAlignment="1">
      <alignment horizontal="left"/>
    </xf>
    <xf numFmtId="0" fontId="7" fillId="0" borderId="0" xfId="1" applyNumberFormat="1" applyFont="1" applyBorder="1" applyAlignment="1">
      <alignment horizontal="left"/>
    </xf>
    <xf numFmtId="0" fontId="7" fillId="0" borderId="0" xfId="1" applyNumberFormat="1" applyFont="1" applyBorder="1" applyAlignment="1">
      <alignment horizontal="center" vertical="top"/>
    </xf>
    <xf numFmtId="0" fontId="1" fillId="0" borderId="39" xfId="1" applyNumberFormat="1" applyFont="1" applyBorder="1" applyAlignment="1">
      <alignment horizontal="left"/>
    </xf>
    <xf numFmtId="0" fontId="1" fillId="0" borderId="40" xfId="1" applyNumberFormat="1" applyFont="1" applyBorder="1" applyAlignment="1">
      <alignment horizontal="left"/>
    </xf>
    <xf numFmtId="0" fontId="1" fillId="0" borderId="41" xfId="1" applyNumberFormat="1" applyFont="1" applyBorder="1" applyAlignment="1">
      <alignment horizontal="left"/>
    </xf>
    <xf numFmtId="0" fontId="1" fillId="0" borderId="42" xfId="1" applyNumberFormat="1" applyFont="1" applyBorder="1" applyAlignment="1">
      <alignment horizontal="left"/>
    </xf>
    <xf numFmtId="0" fontId="7" fillId="0" borderId="41" xfId="1" applyNumberFormat="1" applyFont="1" applyBorder="1" applyAlignment="1">
      <alignment horizontal="center" vertical="top"/>
    </xf>
    <xf numFmtId="0" fontId="7" fillId="0" borderId="42" xfId="1" applyNumberFormat="1" applyFont="1" applyBorder="1" applyAlignment="1">
      <alignment horizontal="center" vertical="top"/>
    </xf>
    <xf numFmtId="0" fontId="1" fillId="0" borderId="47" xfId="1" applyNumberFormat="1" applyFont="1" applyBorder="1" applyAlignment="1">
      <alignment horizontal="left"/>
    </xf>
    <xf numFmtId="0" fontId="1" fillId="0" borderId="48" xfId="1" applyNumberFormat="1" applyFont="1" applyBorder="1" applyAlignment="1">
      <alignment horizontal="left"/>
    </xf>
    <xf numFmtId="0" fontId="1" fillId="0" borderId="49" xfId="1" applyNumberFormat="1" applyFont="1" applyBorder="1" applyAlignment="1">
      <alignment horizontal="left"/>
    </xf>
    <xf numFmtId="0" fontId="15" fillId="0" borderId="0" xfId="1" applyNumberFormat="1" applyFont="1" applyBorder="1" applyAlignment="1">
      <alignment horizontal="left"/>
    </xf>
    <xf numFmtId="0" fontId="4" fillId="0" borderId="0" xfId="1" applyNumberFormat="1" applyFont="1" applyBorder="1" applyAlignment="1">
      <alignment horizontal="left"/>
    </xf>
    <xf numFmtId="49" fontId="2" fillId="2" borderId="1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6" fillId="2" borderId="0" xfId="0" applyFont="1" applyFill="1"/>
    <xf numFmtId="49" fontId="1" fillId="3" borderId="17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6" fillId="3" borderId="0" xfId="0" applyFont="1" applyFill="1"/>
    <xf numFmtId="0" fontId="1" fillId="4" borderId="8" xfId="0" applyNumberFormat="1" applyFont="1" applyFill="1" applyBorder="1" applyAlignment="1">
      <alignment horizontal="left" indent="3"/>
    </xf>
    <xf numFmtId="49" fontId="1" fillId="4" borderId="17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6" fillId="4" borderId="0" xfId="0" applyFont="1" applyFill="1"/>
    <xf numFmtId="0" fontId="6" fillId="5" borderId="0" xfId="0" applyFont="1" applyFill="1"/>
    <xf numFmtId="4" fontId="1" fillId="0" borderId="50" xfId="0" applyNumberFormat="1" applyFont="1" applyBorder="1" applyAlignment="1">
      <alignment horizontal="center"/>
    </xf>
    <xf numFmtId="4" fontId="1" fillId="3" borderId="50" xfId="0" applyNumberFormat="1" applyFont="1" applyFill="1" applyBorder="1" applyAlignment="1">
      <alignment horizontal="center"/>
    </xf>
    <xf numFmtId="4" fontId="1" fillId="4" borderId="50" xfId="0" applyNumberFormat="1" applyFont="1" applyFill="1" applyBorder="1" applyAlignment="1">
      <alignment horizontal="center"/>
    </xf>
    <xf numFmtId="49" fontId="1" fillId="0" borderId="51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/>
    </xf>
    <xf numFmtId="49" fontId="1" fillId="0" borderId="54" xfId="0" applyNumberFormat="1" applyFont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4" fontId="1" fillId="2" borderId="54" xfId="0" applyNumberFormat="1" applyFont="1" applyFill="1" applyBorder="1" applyAlignment="1">
      <alignment horizontal="center"/>
    </xf>
    <xf numFmtId="0" fontId="1" fillId="2" borderId="55" xfId="0" applyNumberFormat="1" applyFont="1" applyFill="1" applyBorder="1" applyAlignment="1">
      <alignment horizontal="center"/>
    </xf>
    <xf numFmtId="4" fontId="1" fillId="0" borderId="54" xfId="0" applyNumberFormat="1" applyFont="1" applyBorder="1" applyAlignment="1">
      <alignment horizontal="center"/>
    </xf>
    <xf numFmtId="4" fontId="1" fillId="3" borderId="54" xfId="0" applyNumberFormat="1" applyFont="1" applyFill="1" applyBorder="1" applyAlignment="1">
      <alignment horizontal="center"/>
    </xf>
    <xf numFmtId="0" fontId="1" fillId="3" borderId="55" xfId="0" applyNumberFormat="1" applyFont="1" applyFill="1" applyBorder="1" applyAlignment="1">
      <alignment horizontal="center"/>
    </xf>
    <xf numFmtId="0" fontId="1" fillId="4" borderId="55" xfId="0" applyNumberFormat="1" applyFont="1" applyFill="1" applyBorder="1" applyAlignment="1">
      <alignment horizontal="center"/>
    </xf>
    <xf numFmtId="4" fontId="1" fillId="0" borderId="56" xfId="0" applyNumberFormat="1" applyFont="1" applyBorder="1" applyAlignment="1">
      <alignment horizontal="center"/>
    </xf>
    <xf numFmtId="4" fontId="1" fillId="0" borderId="57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1" fillId="0" borderId="50" xfId="0" applyNumberFormat="1" applyFont="1" applyBorder="1" applyAlignment="1">
      <alignment horizontal="right"/>
    </xf>
    <xf numFmtId="0" fontId="1" fillId="0" borderId="50" xfId="0" applyNumberFormat="1" applyFont="1" applyBorder="1" applyAlignment="1">
      <alignment horizontal="center" vertical="top" wrapText="1"/>
    </xf>
    <xf numFmtId="49" fontId="2" fillId="5" borderId="17" xfId="0" applyNumberFormat="1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4" fontId="1" fillId="5" borderId="54" xfId="0" applyNumberFormat="1" applyFont="1" applyFill="1" applyBorder="1" applyAlignment="1">
      <alignment horizontal="center"/>
    </xf>
    <xf numFmtId="0" fontId="1" fillId="5" borderId="55" xfId="0" applyNumberFormat="1" applyFont="1" applyFill="1" applyBorder="1" applyAlignment="1">
      <alignment horizontal="center"/>
    </xf>
    <xf numFmtId="0" fontId="11" fillId="0" borderId="0" xfId="0" applyFont="1"/>
    <xf numFmtId="49" fontId="1" fillId="0" borderId="61" xfId="0" applyNumberFormat="1" applyFont="1" applyBorder="1" applyAlignment="1">
      <alignment horizontal="center" vertical="top"/>
    </xf>
    <xf numFmtId="0" fontId="1" fillId="4" borderId="27" xfId="0" applyNumberFormat="1" applyFont="1" applyFill="1" applyBorder="1" applyAlignment="1">
      <alignment horizontal="left" wrapText="1" indent="3"/>
    </xf>
    <xf numFmtId="49" fontId="2" fillId="3" borderId="17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1" fillId="0" borderId="60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6" fillId="6" borderId="0" xfId="0" applyFont="1" applyFill="1"/>
    <xf numFmtId="49" fontId="1" fillId="6" borderId="17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" fontId="1" fillId="6" borderId="54" xfId="0" applyNumberFormat="1" applyFont="1" applyFill="1" applyBorder="1" applyAlignment="1">
      <alignment horizontal="center"/>
    </xf>
    <xf numFmtId="4" fontId="1" fillId="6" borderId="50" xfId="0" applyNumberFormat="1" applyFont="1" applyFill="1" applyBorder="1" applyAlignment="1">
      <alignment horizontal="center"/>
    </xf>
    <xf numFmtId="0" fontId="1" fillId="6" borderId="55" xfId="0" applyNumberFormat="1" applyFont="1" applyFill="1" applyBorder="1" applyAlignment="1">
      <alignment horizontal="center"/>
    </xf>
    <xf numFmtId="49" fontId="1" fillId="6" borderId="54" xfId="0" applyNumberFormat="1" applyFont="1" applyFill="1" applyBorder="1" applyAlignment="1">
      <alignment horizontal="center"/>
    </xf>
    <xf numFmtId="49" fontId="1" fillId="6" borderId="55" xfId="0" applyNumberFormat="1" applyFont="1" applyFill="1" applyBorder="1" applyAlignment="1">
      <alignment horizontal="center"/>
    </xf>
    <xf numFmtId="49" fontId="1" fillId="6" borderId="27" xfId="0" applyNumberFormat="1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8" fillId="4" borderId="0" xfId="0" applyFont="1" applyFill="1"/>
    <xf numFmtId="4" fontId="8" fillId="4" borderId="0" xfId="0" applyNumberFormat="1" applyFont="1" applyFill="1"/>
    <xf numFmtId="4" fontId="12" fillId="4" borderId="0" xfId="0" applyNumberFormat="1" applyFont="1" applyFill="1"/>
    <xf numFmtId="4" fontId="2" fillId="5" borderId="50" xfId="0" applyNumberFormat="1" applyFont="1" applyFill="1" applyBorder="1" applyAlignment="1">
      <alignment horizontal="center"/>
    </xf>
    <xf numFmtId="4" fontId="2" fillId="2" borderId="50" xfId="0" applyNumberFormat="1" applyFont="1" applyFill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left" wrapText="1" indent="3"/>
    </xf>
    <xf numFmtId="0" fontId="1" fillId="0" borderId="5" xfId="0" applyNumberFormat="1" applyFont="1" applyBorder="1" applyAlignment="1">
      <alignment horizontal="left" indent="3"/>
    </xf>
    <xf numFmtId="49" fontId="1" fillId="0" borderId="19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4" fontId="1" fillId="0" borderId="50" xfId="0" applyNumberFormat="1" applyFont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8" fillId="0" borderId="0" xfId="0" applyFont="1"/>
    <xf numFmtId="0" fontId="8" fillId="0" borderId="5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5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0" xfId="0" applyFont="1" applyBorder="1"/>
    <xf numFmtId="0" fontId="6" fillId="0" borderId="50" xfId="0" applyFont="1" applyBorder="1" applyAlignment="1"/>
    <xf numFmtId="0" fontId="8" fillId="0" borderId="62" xfId="0" applyFont="1" applyBorder="1" applyAlignment="1"/>
    <xf numFmtId="0" fontId="8" fillId="0" borderId="0" xfId="0" applyFont="1" applyAlignment="1"/>
    <xf numFmtId="16" fontId="6" fillId="0" borderId="50" xfId="0" applyNumberFormat="1" applyFont="1" applyBorder="1"/>
    <xf numFmtId="0" fontId="6" fillId="0" borderId="63" xfId="0" applyFont="1" applyBorder="1"/>
    <xf numFmtId="0" fontId="1" fillId="0" borderId="0" xfId="0" applyNumberFormat="1" applyFont="1" applyBorder="1" applyAlignment="1"/>
    <xf numFmtId="0" fontId="6" fillId="0" borderId="0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top"/>
    </xf>
    <xf numFmtId="0" fontId="6" fillId="0" borderId="0" xfId="2" applyFont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4" fontId="6" fillId="0" borderId="50" xfId="2" applyNumberFormat="1" applyFont="1" applyBorder="1" applyAlignment="1">
      <alignment horizontal="center" vertical="center" wrapText="1"/>
    </xf>
    <xf numFmtId="0" fontId="19" fillId="0" borderId="50" xfId="2" applyFont="1" applyBorder="1" applyAlignment="1">
      <alignment horizontal="center" vertical="center" wrapText="1"/>
    </xf>
    <xf numFmtId="4" fontId="20" fillId="0" borderId="50" xfId="2" applyNumberFormat="1" applyFont="1" applyBorder="1" applyAlignment="1">
      <alignment horizontal="right" wrapText="1"/>
    </xf>
    <xf numFmtId="0" fontId="20" fillId="0" borderId="0" xfId="2" applyFont="1" applyAlignment="1">
      <alignment horizontal="center" vertical="center" wrapText="1"/>
    </xf>
    <xf numFmtId="0" fontId="20" fillId="0" borderId="50" xfId="2" applyFont="1" applyBorder="1" applyAlignment="1">
      <alignment horizontal="center" vertical="center" wrapText="1"/>
    </xf>
    <xf numFmtId="4" fontId="6" fillId="0" borderId="50" xfId="2" applyNumberFormat="1" applyFont="1" applyBorder="1" applyAlignment="1">
      <alignment horizontal="right" wrapText="1"/>
    </xf>
    <xf numFmtId="0" fontId="11" fillId="0" borderId="50" xfId="2" applyFont="1" applyBorder="1" applyAlignment="1">
      <alignment horizontal="center" wrapText="1"/>
    </xf>
    <xf numFmtId="4" fontId="11" fillId="0" borderId="50" xfId="2" applyNumberFormat="1" applyFont="1" applyBorder="1" applyAlignment="1">
      <alignment horizontal="right" wrapText="1"/>
    </xf>
    <xf numFmtId="0" fontId="11" fillId="0" borderId="0" xfId="2" applyFont="1" applyAlignment="1">
      <alignment horizontal="center" vertical="center" wrapText="1"/>
    </xf>
    <xf numFmtId="0" fontId="1" fillId="0" borderId="8" xfId="2" applyNumberFormat="1" applyFont="1" applyBorder="1" applyAlignment="1"/>
    <xf numFmtId="0" fontId="1" fillId="0" borderId="0" xfId="2" applyNumberFormat="1" applyFont="1" applyBorder="1" applyAlignment="1"/>
    <xf numFmtId="0" fontId="6" fillId="0" borderId="0" xfId="2" applyFont="1" applyBorder="1" applyAlignment="1">
      <alignment horizontal="center" vertical="center" wrapText="1"/>
    </xf>
    <xf numFmtId="0" fontId="16" fillId="0" borderId="1" xfId="2" applyNumberFormat="1" applyFont="1" applyBorder="1" applyAlignment="1">
      <alignment vertical="top"/>
    </xf>
    <xf numFmtId="0" fontId="7" fillId="0" borderId="0" xfId="2" applyNumberFormat="1" applyFont="1" applyBorder="1" applyAlignment="1">
      <alignment vertical="top"/>
    </xf>
    <xf numFmtId="0" fontId="6" fillId="0" borderId="0" xfId="2" applyFont="1" applyAlignment="1">
      <alignment horizontal="left" vertical="center" wrapText="1"/>
    </xf>
    <xf numFmtId="0" fontId="17" fillId="0" borderId="4" xfId="2" applyFont="1" applyBorder="1" applyAlignment="1">
      <alignment horizontal="center" vertical="center" wrapText="1"/>
    </xf>
    <xf numFmtId="164" fontId="6" fillId="0" borderId="50" xfId="2" applyNumberFormat="1" applyFont="1" applyBorder="1" applyAlignment="1">
      <alignment horizontal="right" wrapText="1"/>
    </xf>
    <xf numFmtId="0" fontId="6" fillId="0" borderId="50" xfId="2" applyFont="1" applyBorder="1" applyAlignment="1">
      <alignment horizontal="right" wrapText="1"/>
    </xf>
    <xf numFmtId="0" fontId="11" fillId="0" borderId="50" xfId="2" applyFont="1" applyBorder="1" applyAlignment="1">
      <alignment horizontal="center" vertical="center" wrapText="1"/>
    </xf>
    <xf numFmtId="164" fontId="11" fillId="0" borderId="50" xfId="2" applyNumberFormat="1" applyFont="1" applyBorder="1" applyAlignment="1">
      <alignment horizontal="right" wrapText="1"/>
    </xf>
    <xf numFmtId="164" fontId="11" fillId="0" borderId="50" xfId="2" applyNumberFormat="1" applyFont="1" applyBorder="1" applyAlignment="1">
      <alignment horizontal="center" vertical="top" wrapText="1"/>
    </xf>
    <xf numFmtId="0" fontId="6" fillId="0" borderId="0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50" xfId="0" applyFont="1" applyBorder="1" applyAlignment="1">
      <alignment wrapText="1"/>
    </xf>
    <xf numFmtId="0" fontId="22" fillId="0" borderId="50" xfId="0" applyFont="1" applyBorder="1"/>
    <xf numFmtId="0" fontId="22" fillId="0" borderId="50" xfId="0" applyFont="1" applyBorder="1" applyAlignment="1"/>
    <xf numFmtId="0" fontId="22" fillId="0" borderId="0" xfId="0" applyFont="1"/>
    <xf numFmtId="4" fontId="6" fillId="0" borderId="50" xfId="0" applyNumberFormat="1" applyFont="1" applyBorder="1" applyAlignment="1"/>
    <xf numFmtId="4" fontId="22" fillId="0" borderId="50" xfId="0" applyNumberFormat="1" applyFont="1" applyBorder="1" applyAlignment="1"/>
    <xf numFmtId="0" fontId="22" fillId="0" borderId="0" xfId="0" applyFont="1" applyAlignment="1"/>
    <xf numFmtId="10" fontId="6" fillId="0" borderId="50" xfId="0" applyNumberFormat="1" applyFont="1" applyBorder="1" applyAlignment="1"/>
    <xf numFmtId="4" fontId="22" fillId="0" borderId="67" xfId="0" applyNumberFormat="1" applyFont="1" applyBorder="1" applyAlignment="1"/>
    <xf numFmtId="49" fontId="23" fillId="0" borderId="54" xfId="0" applyNumberFormat="1" applyFont="1" applyBorder="1" applyAlignment="1">
      <alignment horizontal="center"/>
    </xf>
    <xf numFmtId="4" fontId="24" fillId="0" borderId="50" xfId="0" applyNumberFormat="1" applyFont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0" fontId="8" fillId="3" borderId="0" xfId="0" applyFont="1" applyFill="1"/>
    <xf numFmtId="49" fontId="24" fillId="0" borderId="54" xfId="0" applyNumberFormat="1" applyFont="1" applyBorder="1" applyAlignment="1">
      <alignment horizontal="center"/>
    </xf>
    <xf numFmtId="4" fontId="24" fillId="4" borderId="50" xfId="0" applyNumberFormat="1" applyFont="1" applyFill="1" applyBorder="1" applyAlignment="1">
      <alignment horizontal="center"/>
    </xf>
    <xf numFmtId="4" fontId="8" fillId="4" borderId="50" xfId="0" applyNumberFormat="1" applyFont="1" applyFill="1" applyBorder="1"/>
    <xf numFmtId="4" fontId="1" fillId="9" borderId="50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1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4" fontId="23" fillId="0" borderId="50" xfId="0" applyNumberFormat="1" applyFont="1" applyBorder="1" applyAlignment="1">
      <alignment horizontal="center"/>
    </xf>
    <xf numFmtId="4" fontId="2" fillId="0" borderId="50" xfId="0" applyNumberFormat="1" applyFont="1" applyBorder="1" applyAlignment="1">
      <alignment horizontal="center"/>
    </xf>
    <xf numFmtId="49" fontId="2" fillId="0" borderId="5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4" fontId="1" fillId="9" borderId="50" xfId="0" applyNumberFormat="1" applyFont="1" applyFill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6" fillId="0" borderId="50" xfId="2" applyFont="1" applyBorder="1" applyAlignment="1">
      <alignment horizontal="center" vertical="center" wrapText="1"/>
    </xf>
    <xf numFmtId="0" fontId="6" fillId="4" borderId="0" xfId="0" applyNumberFormat="1" applyFont="1" applyFill="1"/>
    <xf numFmtId="0" fontId="6" fillId="0" borderId="0" xfId="0" applyNumberFormat="1" applyFont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1" fillId="0" borderId="0" xfId="0" applyNumberFormat="1" applyFont="1"/>
    <xf numFmtId="0" fontId="1" fillId="0" borderId="3" xfId="0" applyNumberFormat="1" applyFont="1" applyBorder="1" applyAlignment="1">
      <alignment horizontal="center" vertical="top"/>
    </xf>
    <xf numFmtId="0" fontId="1" fillId="0" borderId="61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50" xfId="0" applyNumberFormat="1" applyFont="1" applyBorder="1" applyAlignment="1">
      <alignment horizontal="center"/>
    </xf>
    <xf numFmtId="0" fontId="2" fillId="2" borderId="17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>
      <alignment horizontal="center"/>
    </xf>
    <xf numFmtId="0" fontId="6" fillId="2" borderId="0" xfId="0" applyNumberFormat="1" applyFont="1" applyFill="1"/>
    <xf numFmtId="0" fontId="2" fillId="5" borderId="17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0" fontId="1" fillId="5" borderId="54" xfId="0" applyNumberFormat="1" applyFont="1" applyFill="1" applyBorder="1" applyAlignment="1">
      <alignment horizontal="center"/>
    </xf>
    <xf numFmtId="0" fontId="6" fillId="5" borderId="0" xfId="0" applyNumberFormat="1" applyFont="1" applyFill="1"/>
    <xf numFmtId="0" fontId="1" fillId="3" borderId="17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0" fontId="1" fillId="3" borderId="54" xfId="0" applyNumberFormat="1" applyFont="1" applyFill="1" applyBorder="1" applyAlignment="1">
      <alignment horizontal="center"/>
    </xf>
    <xf numFmtId="0" fontId="6" fillId="3" borderId="0" xfId="0" applyNumberFormat="1" applyFont="1" applyFill="1"/>
    <xf numFmtId="0" fontId="24" fillId="0" borderId="54" xfId="0" applyNumberFormat="1" applyFont="1" applyBorder="1" applyAlignment="1">
      <alignment horizontal="center"/>
    </xf>
    <xf numFmtId="0" fontId="1" fillId="4" borderId="17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0" fontId="6" fillId="6" borderId="0" xfId="0" applyNumberFormat="1" applyFont="1" applyFill="1"/>
    <xf numFmtId="0" fontId="1" fillId="6" borderId="17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6" borderId="54" xfId="0" applyNumberFormat="1" applyFont="1" applyFill="1" applyBorder="1" applyAlignment="1">
      <alignment horizontal="center"/>
    </xf>
    <xf numFmtId="0" fontId="1" fillId="6" borderId="50" xfId="0" applyNumberFormat="1" applyFont="1" applyFill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60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6" borderId="27" xfId="0" applyNumberFormat="1" applyFont="1" applyFill="1" applyBorder="1" applyAlignment="1">
      <alignment horizontal="center"/>
    </xf>
    <xf numFmtId="0" fontId="1" fillId="6" borderId="10" xfId="0" applyNumberFormat="1" applyFont="1" applyFill="1" applyBorder="1" applyAlignment="1">
      <alignment horizontal="center"/>
    </xf>
    <xf numFmtId="0" fontId="8" fillId="4" borderId="0" xfId="0" applyNumberFormat="1" applyFont="1" applyFill="1"/>
    <xf numFmtId="0" fontId="1" fillId="3" borderId="19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4" fontId="1" fillId="0" borderId="52" xfId="0" applyNumberFormat="1" applyFont="1" applyBorder="1" applyAlignment="1">
      <alignment horizontal="center"/>
    </xf>
    <xf numFmtId="49" fontId="23" fillId="0" borderId="54" xfId="0" applyNumberFormat="1" applyFont="1" applyFill="1" applyBorder="1" applyAlignment="1">
      <alignment horizontal="center"/>
    </xf>
    <xf numFmtId="49" fontId="1" fillId="0" borderId="54" xfId="0" applyNumberFormat="1" applyFont="1" applyFill="1" applyBorder="1" applyAlignment="1">
      <alignment horizontal="center"/>
    </xf>
    <xf numFmtId="4" fontId="1" fillId="0" borderId="0" xfId="1" applyNumberFormat="1" applyFont="1" applyBorder="1" applyAlignment="1">
      <alignment horizontal="left"/>
    </xf>
    <xf numFmtId="4" fontId="8" fillId="7" borderId="50" xfId="0" applyNumberFormat="1" applyFont="1" applyFill="1" applyBorder="1"/>
    <xf numFmtId="49" fontId="1" fillId="0" borderId="8" xfId="2" applyNumberFormat="1" applyFont="1" applyBorder="1" applyAlignment="1"/>
    <xf numFmtId="0" fontId="17" fillId="0" borderId="50" xfId="2" applyFont="1" applyBorder="1" applyAlignment="1">
      <alignment horizontal="left" vertical="center" wrapText="1"/>
    </xf>
    <xf numFmtId="0" fontId="17" fillId="0" borderId="4" xfId="2" applyFont="1" applyBorder="1" applyAlignment="1">
      <alignment horizontal="left" vertical="center" wrapText="1"/>
    </xf>
    <xf numFmtId="14" fontId="6" fillId="0" borderId="50" xfId="2" applyNumberFormat="1" applyFont="1" applyBorder="1" applyAlignment="1">
      <alignment horizontal="left" vertical="center" wrapText="1"/>
    </xf>
    <xf numFmtId="0" fontId="6" fillId="7" borderId="50" xfId="2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0" fontId="1" fillId="0" borderId="17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0" fontId="1" fillId="0" borderId="55" xfId="0" applyNumberFormat="1" applyFont="1" applyBorder="1" applyAlignment="1">
      <alignment horizontal="center"/>
    </xf>
    <xf numFmtId="4" fontId="1" fillId="0" borderId="50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5" borderId="4" xfId="0" applyNumberFormat="1" applyFont="1" applyFill="1" applyBorder="1" applyAlignment="1">
      <alignment horizontal="center"/>
    </xf>
    <xf numFmtId="49" fontId="23" fillId="0" borderId="51" xfId="0" applyNumberFormat="1" applyFont="1" applyFill="1" applyBorder="1" applyAlignment="1">
      <alignment horizontal="center"/>
    </xf>
    <xf numFmtId="4" fontId="8" fillId="4" borderId="52" xfId="0" applyNumberFormat="1" applyFont="1" applyFill="1" applyBorder="1"/>
    <xf numFmtId="4" fontId="8" fillId="4" borderId="53" xfId="0" applyNumberFormat="1" applyFont="1" applyFill="1" applyBorder="1"/>
    <xf numFmtId="4" fontId="8" fillId="4" borderId="55" xfId="0" applyNumberFormat="1" applyFont="1" applyFill="1" applyBorder="1"/>
    <xf numFmtId="49" fontId="23" fillId="0" borderId="56" xfId="0" applyNumberFormat="1" applyFont="1" applyFill="1" applyBorder="1" applyAlignment="1">
      <alignment horizontal="center"/>
    </xf>
    <xf numFmtId="4" fontId="8" fillId="4" borderId="57" xfId="0" applyNumberFormat="1" applyFont="1" applyFill="1" applyBorder="1"/>
    <xf numFmtId="4" fontId="8" fillId="4" borderId="58" xfId="0" applyNumberFormat="1" applyFont="1" applyFill="1" applyBorder="1"/>
    <xf numFmtId="0" fontId="27" fillId="0" borderId="8" xfId="0" applyFont="1" applyBorder="1" applyAlignment="1"/>
    <xf numFmtId="0" fontId="28" fillId="0" borderId="0" xfId="0" applyFont="1" applyAlignment="1"/>
    <xf numFmtId="49" fontId="23" fillId="10" borderId="54" xfId="0" applyNumberFormat="1" applyFont="1" applyFill="1" applyBorder="1" applyAlignment="1">
      <alignment horizontal="center"/>
    </xf>
    <xf numFmtId="0" fontId="6" fillId="4" borderId="0" xfId="0" applyFont="1" applyFill="1" applyBorder="1"/>
    <xf numFmtId="4" fontId="29" fillId="0" borderId="0" xfId="3" applyNumberFormat="1" applyBorder="1" applyProtection="1">
      <alignment horizontal="right" vertical="top" shrinkToFit="1"/>
    </xf>
    <xf numFmtId="4" fontId="8" fillId="0" borderId="50" xfId="0" applyNumberFormat="1" applyFont="1" applyFill="1" applyBorder="1"/>
    <xf numFmtId="2" fontId="1" fillId="0" borderId="52" xfId="0" applyNumberFormat="1" applyFont="1" applyBorder="1" applyAlignment="1">
      <alignment horizontal="center"/>
    </xf>
    <xf numFmtId="4" fontId="1" fillId="9" borderId="50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/>
    <xf numFmtId="4" fontId="1" fillId="0" borderId="5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50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4" fontId="6" fillId="4" borderId="50" xfId="2" applyNumberFormat="1" applyFont="1" applyFill="1" applyBorder="1" applyAlignment="1">
      <alignment horizontal="right" wrapText="1"/>
    </xf>
    <xf numFmtId="4" fontId="11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vertical="center" wrapText="1"/>
    </xf>
    <xf numFmtId="4" fontId="6" fillId="0" borderId="0" xfId="2" applyNumberFormat="1" applyFont="1" applyBorder="1" applyAlignment="1">
      <alignment horizontal="center" vertical="center" wrapText="1"/>
    </xf>
    <xf numFmtId="0" fontId="6" fillId="4" borderId="50" xfId="2" applyFont="1" applyFill="1" applyBorder="1" applyAlignment="1">
      <alignment horizontal="right" wrapText="1"/>
    </xf>
    <xf numFmtId="2" fontId="6" fillId="0" borderId="50" xfId="0" applyNumberFormat="1" applyFont="1" applyBorder="1" applyAlignment="1"/>
    <xf numFmtId="4" fontId="6" fillId="0" borderId="0" xfId="0" applyNumberFormat="1" applyFont="1"/>
    <xf numFmtId="4" fontId="6" fillId="0" borderId="0" xfId="0" applyNumberFormat="1" applyFont="1" applyAlignment="1"/>
    <xf numFmtId="0" fontId="22" fillId="0" borderId="4" xfId="0" applyFont="1" applyBorder="1" applyAlignment="1">
      <alignment horizontal="left"/>
    </xf>
    <xf numFmtId="0" fontId="6" fillId="0" borderId="11" xfId="0" applyFont="1" applyBorder="1" applyAlignment="1"/>
    <xf numFmtId="0" fontId="22" fillId="0" borderId="11" xfId="0" applyFont="1" applyBorder="1" applyAlignment="1">
      <alignment horizontal="left"/>
    </xf>
    <xf numFmtId="0" fontId="6" fillId="0" borderId="5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wrapText="1"/>
    </xf>
    <xf numFmtId="0" fontId="22" fillId="0" borderId="4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4" fontId="11" fillId="0" borderId="50" xfId="0" applyNumberFormat="1" applyFont="1" applyBorder="1" applyAlignment="1"/>
    <xf numFmtId="49" fontId="27" fillId="0" borderId="8" xfId="0" applyNumberFormat="1" applyFont="1" applyBorder="1" applyAlignment="1"/>
    <xf numFmtId="4" fontId="6" fillId="0" borderId="50" xfId="0" applyNumberFormat="1" applyFont="1" applyBorder="1" applyAlignment="1">
      <alignment horizontal="center"/>
    </xf>
    <xf numFmtId="49" fontId="5" fillId="4" borderId="37" xfId="0" applyNumberFormat="1" applyFont="1" applyFill="1" applyBorder="1" applyAlignment="1">
      <alignment horizontal="center"/>
    </xf>
    <xf numFmtId="164" fontId="6" fillId="0" borderId="0" xfId="2" applyNumberFormat="1" applyFont="1" applyAlignment="1">
      <alignment horizontal="center" vertical="center" wrapText="1"/>
    </xf>
    <xf numFmtId="4" fontId="6" fillId="0" borderId="55" xfId="0" applyNumberFormat="1" applyFont="1" applyFill="1" applyBorder="1"/>
    <xf numFmtId="4" fontId="6" fillId="0" borderId="50" xfId="0" applyNumberFormat="1" applyFont="1" applyFill="1" applyBorder="1"/>
    <xf numFmtId="0" fontId="6" fillId="0" borderId="0" xfId="0" applyFont="1" applyAlignment="1">
      <alignment horizontal="left"/>
    </xf>
    <xf numFmtId="0" fontId="1" fillId="0" borderId="8" xfId="0" applyNumberFormat="1" applyFont="1" applyBorder="1" applyAlignment="1"/>
    <xf numFmtId="0" fontId="1" fillId="0" borderId="0" xfId="1" applyNumberFormat="1" applyFont="1" applyBorder="1" applyAlignment="1">
      <alignment horizontal="left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top"/>
    </xf>
    <xf numFmtId="0" fontId="8" fillId="0" borderId="50" xfId="0" applyFont="1" applyBorder="1" applyAlignment="1">
      <alignment horizontal="center"/>
    </xf>
    <xf numFmtId="4" fontId="11" fillId="0" borderId="0" xfId="0" applyNumberFormat="1" applyFont="1" applyAlignment="1"/>
    <xf numFmtId="49" fontId="1" fillId="4" borderId="37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16" fontId="27" fillId="0" borderId="8" xfId="0" applyNumberFormat="1" applyFont="1" applyBorder="1" applyAlignment="1"/>
    <xf numFmtId="0" fontId="6" fillId="0" borderId="0" xfId="0" applyFont="1" applyAlignment="1">
      <alignment horizontal="left"/>
    </xf>
    <xf numFmtId="0" fontId="1" fillId="0" borderId="8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2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16" fillId="0" borderId="1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/>
    <xf numFmtId="0" fontId="6" fillId="0" borderId="50" xfId="2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0" borderId="62" xfId="0" applyFont="1" applyBorder="1" applyAlignment="1">
      <alignment wrapText="1"/>
    </xf>
    <xf numFmtId="4" fontId="1" fillId="0" borderId="0" xfId="0" applyNumberFormat="1" applyFont="1" applyBorder="1" applyAlignment="1"/>
    <xf numFmtId="0" fontId="6" fillId="0" borderId="50" xfId="0" applyFont="1" applyBorder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8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/>
    </xf>
    <xf numFmtId="0" fontId="16" fillId="0" borderId="1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4" fontId="1" fillId="0" borderId="5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4" fontId="22" fillId="0" borderId="4" xfId="0" applyNumberFormat="1" applyFont="1" applyBorder="1" applyAlignment="1">
      <alignment horizontal="left"/>
    </xf>
    <xf numFmtId="4" fontId="1" fillId="0" borderId="50" xfId="0" applyNumberFormat="1" applyFont="1" applyBorder="1" applyAlignment="1">
      <alignment horizontal="center"/>
    </xf>
    <xf numFmtId="4" fontId="1" fillId="8" borderId="50" xfId="0" applyNumberFormat="1" applyFont="1" applyFill="1" applyBorder="1" applyAlignment="1">
      <alignment horizontal="center"/>
    </xf>
    <xf numFmtId="4" fontId="1" fillId="9" borderId="50" xfId="0" applyNumberFormat="1" applyFont="1" applyFill="1" applyBorder="1" applyAlignment="1">
      <alignment horizontal="center"/>
    </xf>
    <xf numFmtId="4" fontId="1" fillId="9" borderId="62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4" fontId="6" fillId="0" borderId="0" xfId="2" applyNumberFormat="1" applyFont="1" applyAlignment="1">
      <alignment horizontal="center" vertical="center" wrapText="1"/>
    </xf>
    <xf numFmtId="0" fontId="22" fillId="0" borderId="4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8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top"/>
    </xf>
    <xf numFmtId="0" fontId="1" fillId="3" borderId="17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left"/>
    </xf>
    <xf numFmtId="0" fontId="1" fillId="3" borderId="18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/>
    </xf>
    <xf numFmtId="0" fontId="1" fillId="0" borderId="18" xfId="0" applyNumberFormat="1" applyFont="1" applyBorder="1" applyAlignment="1">
      <alignment horizontal="left"/>
    </xf>
    <xf numFmtId="0" fontId="2" fillId="3" borderId="17" xfId="0" applyNumberFormat="1" applyFont="1" applyFill="1" applyBorder="1" applyAlignment="1">
      <alignment horizontal="left"/>
    </xf>
    <xf numFmtId="0" fontId="2" fillId="3" borderId="5" xfId="0" applyNumberFormat="1" applyFont="1" applyFill="1" applyBorder="1" applyAlignment="1">
      <alignment horizontal="left"/>
    </xf>
    <xf numFmtId="0" fontId="1" fillId="0" borderId="28" xfId="0" applyNumberFormat="1" applyFont="1" applyBorder="1" applyAlignment="1">
      <alignment horizontal="left" wrapText="1" indent="2"/>
    </xf>
    <xf numFmtId="0" fontId="1" fillId="0" borderId="29" xfId="0" applyNumberFormat="1" applyFont="1" applyBorder="1" applyAlignment="1">
      <alignment horizontal="left" indent="2"/>
    </xf>
    <xf numFmtId="0" fontId="1" fillId="6" borderId="27" xfId="0" applyNumberFormat="1" applyFont="1" applyFill="1" applyBorder="1" applyAlignment="1">
      <alignment horizontal="left" wrapText="1" indent="3"/>
    </xf>
    <xf numFmtId="0" fontId="1" fillId="6" borderId="8" xfId="0" applyNumberFormat="1" applyFont="1" applyFill="1" applyBorder="1" applyAlignment="1">
      <alignment horizontal="left" indent="3"/>
    </xf>
    <xf numFmtId="0" fontId="1" fillId="0" borderId="19" xfId="0" applyNumberFormat="1" applyFont="1" applyBorder="1" applyAlignment="1">
      <alignment horizontal="left" indent="4"/>
    </xf>
    <xf numFmtId="0" fontId="1" fillId="0" borderId="1" xfId="0" applyNumberFormat="1" applyFont="1" applyBorder="1" applyAlignment="1">
      <alignment horizontal="left" indent="4"/>
    </xf>
    <xf numFmtId="0" fontId="1" fillId="6" borderId="17" xfId="0" applyNumberFormat="1" applyFont="1" applyFill="1" applyBorder="1" applyAlignment="1">
      <alignment horizontal="left" wrapText="1" indent="3"/>
    </xf>
    <xf numFmtId="0" fontId="1" fillId="6" borderId="5" xfId="0" applyNumberFormat="1" applyFont="1" applyFill="1" applyBorder="1" applyAlignment="1">
      <alignment horizontal="left" indent="3"/>
    </xf>
    <xf numFmtId="0" fontId="1" fillId="0" borderId="17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0" fontId="1" fillId="0" borderId="17" xfId="0" applyNumberFormat="1" applyFont="1" applyBorder="1" applyAlignment="1">
      <alignment horizontal="left"/>
    </xf>
    <xf numFmtId="0" fontId="1" fillId="3" borderId="17" xfId="0" applyNumberFormat="1" applyFont="1" applyFill="1" applyBorder="1" applyAlignment="1">
      <alignment horizontal="left" wrapText="1" indent="1"/>
    </xf>
    <xf numFmtId="0" fontId="1" fillId="3" borderId="5" xfId="0" applyNumberFormat="1" applyFont="1" applyFill="1" applyBorder="1" applyAlignment="1">
      <alignment horizontal="left" indent="1"/>
    </xf>
    <xf numFmtId="0" fontId="1" fillId="0" borderId="17" xfId="0" applyNumberFormat="1" applyFont="1" applyBorder="1" applyAlignment="1">
      <alignment horizontal="left" wrapText="1" indent="3"/>
    </xf>
    <xf numFmtId="0" fontId="1" fillId="0" borderId="5" xfId="0" applyNumberFormat="1" applyFont="1" applyBorder="1" applyAlignment="1">
      <alignment horizontal="left" indent="3"/>
    </xf>
    <xf numFmtId="0" fontId="1" fillId="6" borderId="27" xfId="0" applyNumberFormat="1" applyFont="1" applyFill="1" applyBorder="1" applyAlignment="1">
      <alignment horizontal="left" wrapText="1" indent="4"/>
    </xf>
    <xf numFmtId="0" fontId="1" fillId="6" borderId="8" xfId="0" applyNumberFormat="1" applyFont="1" applyFill="1" applyBorder="1" applyAlignment="1">
      <alignment horizontal="left" indent="4"/>
    </xf>
    <xf numFmtId="0" fontId="1" fillId="3" borderId="27" xfId="0" applyNumberFormat="1" applyFont="1" applyFill="1" applyBorder="1" applyAlignment="1">
      <alignment horizontal="left" wrapText="1" indent="3"/>
    </xf>
    <xf numFmtId="0" fontId="1" fillId="3" borderId="8" xfId="0" applyNumberFormat="1" applyFont="1" applyFill="1" applyBorder="1" applyAlignment="1">
      <alignment horizontal="left" indent="3"/>
    </xf>
    <xf numFmtId="0" fontId="1" fillId="3" borderId="17" xfId="0" applyNumberFormat="1" applyFont="1" applyFill="1" applyBorder="1" applyAlignment="1">
      <alignment horizontal="left" wrapText="1" indent="3"/>
    </xf>
    <xf numFmtId="0" fontId="1" fillId="3" borderId="5" xfId="0" applyNumberFormat="1" applyFont="1" applyFill="1" applyBorder="1" applyAlignment="1">
      <alignment horizontal="left" indent="3"/>
    </xf>
    <xf numFmtId="0" fontId="1" fillId="6" borderId="17" xfId="0" applyNumberFormat="1" applyFont="1" applyFill="1" applyBorder="1" applyAlignment="1">
      <alignment horizontal="left" wrapText="1" indent="4"/>
    </xf>
    <xf numFmtId="0" fontId="1" fillId="6" borderId="5" xfId="0" applyNumberFormat="1" applyFont="1" applyFill="1" applyBorder="1" applyAlignment="1">
      <alignment horizontal="left" indent="4"/>
    </xf>
    <xf numFmtId="0" fontId="1" fillId="0" borderId="27" xfId="0" applyNumberFormat="1" applyFont="1" applyBorder="1" applyAlignment="1">
      <alignment horizontal="left" wrapText="1" indent="1"/>
    </xf>
    <xf numFmtId="0" fontId="1" fillId="0" borderId="8" xfId="0" applyNumberFormat="1" applyFont="1" applyBorder="1" applyAlignment="1">
      <alignment horizontal="left" indent="1"/>
    </xf>
    <xf numFmtId="0" fontId="1" fillId="0" borderId="27" xfId="0" applyNumberFormat="1" applyFont="1" applyBorder="1" applyAlignment="1">
      <alignment horizontal="left" wrapText="1" indent="3"/>
    </xf>
    <xf numFmtId="0" fontId="1" fillId="0" borderId="8" xfId="0" applyNumberFormat="1" applyFont="1" applyBorder="1" applyAlignment="1">
      <alignment horizontal="left" indent="3"/>
    </xf>
    <xf numFmtId="0" fontId="2" fillId="5" borderId="17" xfId="0" applyNumberFormat="1" applyFont="1" applyFill="1" applyBorder="1" applyAlignment="1">
      <alignment horizontal="left"/>
    </xf>
    <xf numFmtId="0" fontId="2" fillId="5" borderId="5" xfId="0" applyNumberFormat="1" applyFont="1" applyFill="1" applyBorder="1" applyAlignment="1">
      <alignment horizontal="left"/>
    </xf>
    <xf numFmtId="0" fontId="1" fillId="3" borderId="17" xfId="0" applyNumberFormat="1" applyFont="1" applyFill="1" applyBorder="1" applyAlignment="1">
      <alignment horizontal="left" wrapText="1" indent="2"/>
    </xf>
    <xf numFmtId="0" fontId="1" fillId="3" borderId="5" xfId="0" applyNumberFormat="1" applyFont="1" applyFill="1" applyBorder="1" applyAlignment="1">
      <alignment horizontal="left" indent="2"/>
    </xf>
    <xf numFmtId="4" fontId="1" fillId="9" borderId="62" xfId="0" applyNumberFormat="1" applyFont="1" applyFill="1" applyBorder="1" applyAlignment="1">
      <alignment horizontal="center"/>
    </xf>
    <xf numFmtId="4" fontId="1" fillId="9" borderId="68" xfId="0" applyNumberFormat="1" applyFont="1" applyFill="1" applyBorder="1" applyAlignment="1">
      <alignment horizontal="center"/>
    </xf>
    <xf numFmtId="0" fontId="1" fillId="0" borderId="55" xfId="0" applyNumberFormat="1" applyFont="1" applyBorder="1" applyAlignment="1">
      <alignment horizontal="center"/>
    </xf>
    <xf numFmtId="0" fontId="1" fillId="0" borderId="27" xfId="0" applyNumberFormat="1" applyFont="1" applyBorder="1" applyAlignment="1"/>
    <xf numFmtId="0" fontId="1" fillId="0" borderId="8" xfId="0" applyNumberFormat="1" applyFont="1" applyBorder="1" applyAlignment="1"/>
    <xf numFmtId="0" fontId="1" fillId="0" borderId="17" xfId="0" applyNumberFormat="1" applyFont="1" applyBorder="1" applyAlignment="1"/>
    <xf numFmtId="0" fontId="1" fillId="0" borderId="5" xfId="0" applyNumberFormat="1" applyFont="1" applyBorder="1" applyAlignment="1"/>
    <xf numFmtId="0" fontId="1" fillId="0" borderId="27" xfId="0" applyNumberFormat="1" applyFont="1" applyBorder="1" applyAlignment="1">
      <alignment wrapText="1"/>
    </xf>
    <xf numFmtId="0" fontId="1" fillId="0" borderId="19" xfId="0" applyNumberFormat="1" applyFont="1" applyBorder="1" applyAlignment="1">
      <alignment horizontal="left" indent="3"/>
    </xf>
    <xf numFmtId="0" fontId="1" fillId="0" borderId="1" xfId="0" applyNumberFormat="1" applyFont="1" applyBorder="1" applyAlignment="1">
      <alignment horizontal="left" indent="3"/>
    </xf>
    <xf numFmtId="0" fontId="1" fillId="0" borderId="19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4" fontId="1" fillId="4" borderId="50" xfId="0" applyNumberFormat="1" applyFont="1" applyFill="1" applyBorder="1" applyAlignment="1">
      <alignment horizontal="center"/>
    </xf>
    <xf numFmtId="0" fontId="1" fillId="0" borderId="27" xfId="0" applyNumberFormat="1" applyFont="1" applyBorder="1" applyAlignment="1">
      <alignment horizontal="left" indent="3"/>
    </xf>
    <xf numFmtId="4" fontId="1" fillId="8" borderId="50" xfId="0" applyNumberFormat="1" applyFont="1" applyFill="1" applyBorder="1" applyAlignment="1">
      <alignment horizontal="center"/>
    </xf>
    <xf numFmtId="0" fontId="1" fillId="0" borderId="19" xfId="0" applyNumberFormat="1" applyFont="1" applyBorder="1" applyAlignment="1">
      <alignment horizontal="left" indent="2"/>
    </xf>
    <xf numFmtId="0" fontId="1" fillId="0" borderId="1" xfId="0" applyNumberFormat="1" applyFont="1" applyBorder="1" applyAlignment="1">
      <alignment horizontal="left" indent="2"/>
    </xf>
    <xf numFmtId="4" fontId="1" fillId="0" borderId="50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left" indent="2"/>
    </xf>
    <xf numFmtId="0" fontId="1" fillId="0" borderId="8" xfId="0" applyNumberFormat="1" applyFont="1" applyBorder="1" applyAlignment="1">
      <alignment horizontal="left" indent="2"/>
    </xf>
    <xf numFmtId="0" fontId="1" fillId="0" borderId="61" xfId="0" applyNumberFormat="1" applyFont="1" applyBorder="1" applyAlignment="1">
      <alignment horizontal="center"/>
    </xf>
    <xf numFmtId="0" fontId="1" fillId="0" borderId="69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2" fillId="2" borderId="17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left" wrapText="1" indent="1"/>
    </xf>
    <xf numFmtId="0" fontId="1" fillId="0" borderId="5" xfId="0" applyNumberFormat="1" applyFont="1" applyBorder="1" applyAlignment="1">
      <alignment horizontal="left" indent="1"/>
    </xf>
    <xf numFmtId="0" fontId="5" fillId="0" borderId="8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1" fillId="0" borderId="59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6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/>
    </xf>
    <xf numFmtId="0" fontId="1" fillId="0" borderId="5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NumberFormat="1" applyFont="1" applyAlignment="1">
      <alignment horizontal="center" vertical="top"/>
    </xf>
    <xf numFmtId="0" fontId="9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center"/>
    </xf>
    <xf numFmtId="0" fontId="1" fillId="0" borderId="55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49" fontId="1" fillId="0" borderId="17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" fontId="1" fillId="9" borderId="50" xfId="0" applyNumberFormat="1" applyFont="1" applyFill="1" applyBorder="1" applyAlignment="1">
      <alignment horizontal="center"/>
    </xf>
    <xf numFmtId="0" fontId="1" fillId="4" borderId="27" xfId="0" applyNumberFormat="1" applyFont="1" applyFill="1" applyBorder="1" applyAlignment="1"/>
    <xf numFmtId="0" fontId="1" fillId="4" borderId="8" xfId="0" applyNumberFormat="1" applyFont="1" applyFill="1" applyBorder="1" applyAlignment="1"/>
    <xf numFmtId="0" fontId="1" fillId="4" borderId="17" xfId="0" applyNumberFormat="1" applyFont="1" applyFill="1" applyBorder="1" applyAlignment="1"/>
    <xf numFmtId="0" fontId="1" fillId="4" borderId="5" xfId="0" applyNumberFormat="1" applyFont="1" applyFill="1" applyBorder="1" applyAlignment="1"/>
    <xf numFmtId="49" fontId="1" fillId="0" borderId="19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" fontId="1" fillId="0" borderId="54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right"/>
    </xf>
    <xf numFmtId="49" fontId="1" fillId="0" borderId="5" xfId="1" applyNumberFormat="1" applyFont="1" applyBorder="1" applyAlignment="1">
      <alignment horizontal="left"/>
    </xf>
    <xf numFmtId="0" fontId="1" fillId="0" borderId="1" xfId="1" applyNumberFormat="1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0" fontId="1" fillId="0" borderId="10" xfId="1" applyNumberFormat="1" applyFont="1" applyBorder="1" applyAlignment="1">
      <alignment horizontal="center" vertical="top" wrapText="1"/>
    </xf>
    <xf numFmtId="0" fontId="1" fillId="0" borderId="8" xfId="1" applyNumberFormat="1" applyFont="1" applyBorder="1" applyAlignment="1">
      <alignment horizontal="center" vertical="top" wrapText="1"/>
    </xf>
    <xf numFmtId="0" fontId="1" fillId="0" borderId="9" xfId="1" applyNumberFormat="1" applyFont="1" applyBorder="1" applyAlignment="1">
      <alignment horizontal="center" vertical="top" wrapText="1"/>
    </xf>
    <xf numFmtId="49" fontId="1" fillId="0" borderId="5" xfId="1" applyNumberFormat="1" applyFont="1" applyBorder="1" applyAlignment="1">
      <alignment horizontal="center" vertical="top"/>
    </xf>
    <xf numFmtId="49" fontId="1" fillId="0" borderId="11" xfId="1" applyNumberFormat="1" applyFont="1" applyBorder="1" applyAlignment="1">
      <alignment horizontal="center" vertical="top"/>
    </xf>
    <xf numFmtId="49" fontId="1" fillId="0" borderId="3" xfId="1" applyNumberFormat="1" applyFont="1" applyBorder="1" applyAlignment="1">
      <alignment horizontal="center" vertical="top"/>
    </xf>
    <xf numFmtId="49" fontId="1" fillId="0" borderId="1" xfId="1" applyNumberFormat="1" applyFont="1" applyBorder="1" applyAlignment="1">
      <alignment horizontal="center" vertical="top"/>
    </xf>
    <xf numFmtId="49" fontId="1" fillId="0" borderId="2" xfId="1" applyNumberFormat="1" applyFont="1" applyBorder="1" applyAlignment="1">
      <alignment horizontal="center" vertical="top"/>
    </xf>
    <xf numFmtId="49" fontId="2" fillId="0" borderId="5" xfId="1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5" xfId="1" applyNumberFormat="1" applyFont="1" applyBorder="1" applyAlignment="1">
      <alignment horizontal="left"/>
    </xf>
    <xf numFmtId="49" fontId="2" fillId="0" borderId="12" xfId="1" applyNumberFormat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49" fontId="2" fillId="0" borderId="14" xfId="1" applyNumberFormat="1" applyFont="1" applyBorder="1" applyAlignment="1">
      <alignment horizontal="center"/>
    </xf>
    <xf numFmtId="49" fontId="1" fillId="0" borderId="15" xfId="1" applyNumberFormat="1" applyFont="1" applyBorder="1" applyAlignment="1">
      <alignment horizontal="center"/>
    </xf>
    <xf numFmtId="49" fontId="1" fillId="0" borderId="13" xfId="1" applyNumberFormat="1" applyFont="1" applyBorder="1" applyAlignment="1">
      <alignment horizontal="center"/>
    </xf>
    <xf numFmtId="49" fontId="1" fillId="0" borderId="14" xfId="1" applyNumberFormat="1" applyFont="1" applyBorder="1" applyAlignment="1">
      <alignment horizontal="center"/>
    </xf>
    <xf numFmtId="4" fontId="24" fillId="0" borderId="15" xfId="1" applyNumberFormat="1" applyFont="1" applyBorder="1" applyAlignment="1">
      <alignment horizontal="center"/>
    </xf>
    <xf numFmtId="4" fontId="24" fillId="0" borderId="13" xfId="1" applyNumberFormat="1" applyFont="1" applyBorder="1" applyAlignment="1">
      <alignment horizontal="center"/>
    </xf>
    <xf numFmtId="4" fontId="24" fillId="0" borderId="14" xfId="1" applyNumberFormat="1" applyFont="1" applyBorder="1" applyAlignment="1">
      <alignment horizontal="center"/>
    </xf>
    <xf numFmtId="49" fontId="1" fillId="0" borderId="5" xfId="1" applyNumberFormat="1" applyFont="1" applyBorder="1" applyAlignment="1">
      <alignment horizontal="center"/>
    </xf>
    <xf numFmtId="49" fontId="1" fillId="0" borderId="11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left" wrapText="1" indent="1"/>
    </xf>
    <xf numFmtId="0" fontId="1" fillId="0" borderId="5" xfId="1" applyNumberFormat="1" applyFont="1" applyBorder="1" applyAlignment="1">
      <alignment horizontal="left" indent="1"/>
    </xf>
    <xf numFmtId="49" fontId="1" fillId="0" borderId="17" xfId="1" applyNumberFormat="1" applyFont="1" applyBorder="1" applyAlignment="1">
      <alignment horizontal="center"/>
    </xf>
    <xf numFmtId="49" fontId="1" fillId="0" borderId="4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2" fillId="0" borderId="5" xfId="1" applyNumberFormat="1" applyFont="1" applyBorder="1" applyAlignment="1">
      <alignment horizontal="center"/>
    </xf>
    <xf numFmtId="4" fontId="2" fillId="0" borderId="11" xfId="1" applyNumberFormat="1" applyFont="1" applyBorder="1" applyAlignment="1">
      <alignment horizontal="center"/>
    </xf>
    <xf numFmtId="4" fontId="2" fillId="0" borderId="18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left" wrapText="1" indent="2"/>
    </xf>
    <xf numFmtId="0" fontId="1" fillId="0" borderId="5" xfId="1" applyNumberFormat="1" applyFont="1" applyBorder="1" applyAlignment="1">
      <alignment horizontal="left" indent="2"/>
    </xf>
    <xf numFmtId="4" fontId="1" fillId="0" borderId="4" xfId="1" applyNumberFormat="1" applyFont="1" applyBorder="1" applyAlignment="1">
      <alignment horizontal="center"/>
    </xf>
    <xf numFmtId="4" fontId="1" fillId="0" borderId="5" xfId="1" applyNumberFormat="1" applyFont="1" applyBorder="1" applyAlignment="1">
      <alignment horizontal="center"/>
    </xf>
    <xf numFmtId="4" fontId="1" fillId="0" borderId="11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left" wrapText="1" indent="3"/>
    </xf>
    <xf numFmtId="0" fontId="1" fillId="0" borderId="5" xfId="1" applyNumberFormat="1" applyFont="1" applyBorder="1" applyAlignment="1">
      <alignment horizontal="left" indent="3"/>
    </xf>
    <xf numFmtId="49" fontId="1" fillId="0" borderId="28" xfId="1" applyNumberFormat="1" applyFont="1" applyBorder="1" applyAlignment="1">
      <alignment horizontal="center"/>
    </xf>
    <xf numFmtId="49" fontId="1" fillId="0" borderId="29" xfId="1" applyNumberFormat="1" applyFont="1" applyBorder="1" applyAlignment="1">
      <alignment horizontal="center"/>
    </xf>
    <xf numFmtId="49" fontId="1" fillId="0" borderId="30" xfId="1" applyNumberFormat="1" applyFont="1" applyBorder="1" applyAlignment="1">
      <alignment horizontal="center"/>
    </xf>
    <xf numFmtId="49" fontId="1" fillId="0" borderId="31" xfId="1" applyNumberFormat="1" applyFont="1" applyBorder="1" applyAlignment="1">
      <alignment horizontal="center"/>
    </xf>
    <xf numFmtId="4" fontId="1" fillId="0" borderId="31" xfId="1" applyNumberFormat="1" applyFont="1" applyBorder="1" applyAlignment="1">
      <alignment horizontal="center"/>
    </xf>
    <xf numFmtId="4" fontId="1" fillId="0" borderId="29" xfId="1" applyNumberFormat="1" applyFont="1" applyBorder="1" applyAlignment="1">
      <alignment horizontal="center"/>
    </xf>
    <xf numFmtId="4" fontId="1" fillId="0" borderId="30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4" fontId="1" fillId="0" borderId="15" xfId="1" applyNumberFormat="1" applyFont="1" applyBorder="1" applyAlignment="1">
      <alignment horizontal="center"/>
    </xf>
    <xf numFmtId="4" fontId="1" fillId="0" borderId="13" xfId="1" applyNumberFormat="1" applyFont="1" applyBorder="1" applyAlignment="1">
      <alignment horizontal="center"/>
    </xf>
    <xf numFmtId="4" fontId="1" fillId="0" borderId="14" xfId="1" applyNumberFormat="1" applyFont="1" applyBorder="1" applyAlignment="1">
      <alignment horizontal="center"/>
    </xf>
    <xf numFmtId="4" fontId="1" fillId="0" borderId="16" xfId="1" applyNumberFormat="1" applyFont="1" applyBorder="1" applyAlignment="1">
      <alignment horizontal="center"/>
    </xf>
    <xf numFmtId="4" fontId="1" fillId="0" borderId="18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left" wrapText="1"/>
    </xf>
    <xf numFmtId="0" fontId="1" fillId="0" borderId="5" xfId="1" applyNumberFormat="1" applyFont="1" applyBorder="1" applyAlignment="1">
      <alignment horizontal="left"/>
    </xf>
    <xf numFmtId="49" fontId="1" fillId="0" borderId="1" xfId="1" applyNumberFormat="1" applyFont="1" applyBorder="1" applyAlignment="1">
      <alignment horizontal="center"/>
    </xf>
    <xf numFmtId="49" fontId="1" fillId="0" borderId="2" xfId="1" applyNumberFormat="1" applyFont="1" applyBorder="1" applyAlignment="1">
      <alignment horizontal="center"/>
    </xf>
    <xf numFmtId="49" fontId="1" fillId="0" borderId="8" xfId="1" applyNumberFormat="1" applyFont="1" applyBorder="1" applyAlignment="1">
      <alignment horizontal="center"/>
    </xf>
    <xf numFmtId="49" fontId="1" fillId="0" borderId="9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left" wrapText="1" indent="4"/>
    </xf>
    <xf numFmtId="0" fontId="1" fillId="0" borderId="1" xfId="1" applyNumberFormat="1" applyFont="1" applyBorder="1" applyAlignment="1">
      <alignment horizontal="left" indent="4"/>
    </xf>
    <xf numFmtId="0" fontId="1" fillId="0" borderId="20" xfId="1" applyNumberFormat="1" applyFont="1" applyBorder="1" applyAlignment="1">
      <alignment horizontal="left" indent="4"/>
    </xf>
    <xf numFmtId="49" fontId="1" fillId="0" borderId="19" xfId="1" applyNumberFormat="1" applyFont="1" applyBorder="1" applyAlignment="1">
      <alignment horizontal="center"/>
    </xf>
    <xf numFmtId="49" fontId="1" fillId="0" borderId="27" xfId="1" applyNumberFormat="1" applyFont="1" applyBorder="1" applyAlignment="1">
      <alignment horizontal="center"/>
    </xf>
    <xf numFmtId="49" fontId="1" fillId="0" borderId="3" xfId="1" applyNumberFormat="1" applyFont="1" applyBorder="1" applyAlignment="1">
      <alignment horizontal="center"/>
    </xf>
    <xf numFmtId="49" fontId="1" fillId="0" borderId="10" xfId="1" applyNumberFormat="1" applyFont="1" applyBorder="1" applyAlignment="1">
      <alignment horizontal="center"/>
    </xf>
    <xf numFmtId="4" fontId="1" fillId="0" borderId="3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4" fontId="1" fillId="0" borderId="10" xfId="1" applyNumberFormat="1" applyFont="1" applyBorder="1" applyAlignment="1">
      <alignment horizontal="center"/>
    </xf>
    <xf numFmtId="4" fontId="1" fillId="0" borderId="8" xfId="1" applyNumberFormat="1" applyFont="1" applyBorder="1" applyAlignment="1">
      <alignment horizontal="center"/>
    </xf>
    <xf numFmtId="4" fontId="1" fillId="0" borderId="9" xfId="1" applyNumberFormat="1" applyFont="1" applyBorder="1" applyAlignment="1">
      <alignment horizontal="center"/>
    </xf>
    <xf numFmtId="4" fontId="1" fillId="0" borderId="20" xfId="1" applyNumberFormat="1" applyFont="1" applyBorder="1" applyAlignment="1">
      <alignment horizontal="center"/>
    </xf>
    <xf numFmtId="4" fontId="1" fillId="0" borderId="21" xfId="1" applyNumberFormat="1" applyFont="1" applyBorder="1" applyAlignment="1">
      <alignment horizontal="center"/>
    </xf>
    <xf numFmtId="0" fontId="1" fillId="0" borderId="10" xfId="1" applyNumberFormat="1" applyFont="1" applyBorder="1" applyAlignment="1">
      <alignment horizontal="left" wrapText="1" indent="4"/>
    </xf>
    <xf numFmtId="0" fontId="1" fillId="0" borderId="8" xfId="1" applyNumberFormat="1" applyFont="1" applyBorder="1" applyAlignment="1">
      <alignment horizontal="left" indent="4"/>
    </xf>
    <xf numFmtId="0" fontId="1" fillId="0" borderId="43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44" xfId="1" applyNumberFormat="1" applyFont="1" applyBorder="1" applyAlignment="1">
      <alignment horizontal="center"/>
    </xf>
    <xf numFmtId="0" fontId="7" fillId="0" borderId="45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46" xfId="1" applyNumberFormat="1" applyFont="1" applyBorder="1" applyAlignment="1">
      <alignment horizontal="center" vertical="top"/>
    </xf>
    <xf numFmtId="49" fontId="1" fillId="0" borderId="22" xfId="1" applyNumberFormat="1" applyFont="1" applyBorder="1" applyAlignment="1">
      <alignment horizontal="center"/>
    </xf>
    <xf numFmtId="49" fontId="1" fillId="0" borderId="23" xfId="1" applyNumberFormat="1" applyFont="1" applyBorder="1" applyAlignment="1">
      <alignment horizontal="center"/>
    </xf>
    <xf numFmtId="49" fontId="1" fillId="0" borderId="24" xfId="1" applyNumberFormat="1" applyFont="1" applyBorder="1" applyAlignment="1">
      <alignment horizontal="center"/>
    </xf>
    <xf numFmtId="49" fontId="1" fillId="0" borderId="25" xfId="1" applyNumberFormat="1" applyFont="1" applyBorder="1" applyAlignment="1">
      <alignment horizontal="center"/>
    </xf>
    <xf numFmtId="4" fontId="1" fillId="0" borderId="25" xfId="1" applyNumberFormat="1" applyFont="1" applyBorder="1" applyAlignment="1">
      <alignment horizontal="center"/>
    </xf>
    <xf numFmtId="4" fontId="1" fillId="0" borderId="23" xfId="1" applyNumberFormat="1" applyFont="1" applyBorder="1" applyAlignment="1">
      <alignment horizontal="center"/>
    </xf>
    <xf numFmtId="4" fontId="1" fillId="0" borderId="24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right"/>
    </xf>
    <xf numFmtId="0" fontId="1" fillId="0" borderId="0" xfId="1" applyNumberFormat="1" applyFont="1" applyBorder="1" applyAlignment="1">
      <alignment horizontal="left"/>
    </xf>
    <xf numFmtId="49" fontId="1" fillId="0" borderId="8" xfId="1" applyNumberFormat="1" applyFont="1" applyBorder="1" applyAlignment="1">
      <alignment horizontal="left"/>
    </xf>
    <xf numFmtId="4" fontId="1" fillId="0" borderId="26" xfId="1" applyNumberFormat="1" applyFont="1" applyBorder="1" applyAlignment="1">
      <alignment horizontal="center"/>
    </xf>
    <xf numFmtId="0" fontId="26" fillId="0" borderId="8" xfId="1" applyNumberFormat="1" applyFont="1" applyBorder="1" applyAlignment="1">
      <alignment horizontal="center"/>
    </xf>
    <xf numFmtId="49" fontId="26" fillId="0" borderId="8" xfId="1" applyNumberFormat="1" applyFont="1" applyBorder="1" applyAlignment="1">
      <alignment horizontal="center"/>
    </xf>
    <xf numFmtId="0" fontId="15" fillId="0" borderId="0" xfId="1" applyNumberFormat="1" applyFont="1" applyBorder="1" applyAlignment="1">
      <alignment horizontal="justify" vertical="top"/>
    </xf>
    <xf numFmtId="0" fontId="4" fillId="0" borderId="0" xfId="1" applyNumberFormat="1" applyFont="1" applyBorder="1" applyAlignment="1">
      <alignment horizontal="justify" vertical="top"/>
    </xf>
    <xf numFmtId="0" fontId="15" fillId="0" borderId="0" xfId="1" applyNumberFormat="1" applyFont="1" applyBorder="1" applyAlignment="1">
      <alignment horizontal="justify" wrapText="1"/>
    </xf>
    <xf numFmtId="0" fontId="15" fillId="0" borderId="0" xfId="1" applyNumberFormat="1" applyFont="1" applyBorder="1" applyAlignment="1">
      <alignment horizontal="justify"/>
    </xf>
    <xf numFmtId="0" fontId="4" fillId="0" borderId="0" xfId="1" applyNumberFormat="1" applyFont="1" applyBorder="1" applyAlignment="1">
      <alignment horizontal="justify"/>
    </xf>
    <xf numFmtId="0" fontId="1" fillId="0" borderId="41" xfId="1" applyNumberFormat="1" applyFont="1" applyBorder="1" applyAlignment="1">
      <alignment horizontal="right"/>
    </xf>
    <xf numFmtId="0" fontId="11" fillId="0" borderId="8" xfId="2" applyFont="1" applyBorder="1" applyAlignment="1">
      <alignment horizontal="center" vertical="center" wrapText="1"/>
    </xf>
    <xf numFmtId="0" fontId="6" fillId="0" borderId="62" xfId="2" applyFont="1" applyBorder="1" applyAlignment="1">
      <alignment horizontal="center" vertical="center" wrapText="1"/>
    </xf>
    <xf numFmtId="0" fontId="6" fillId="0" borderId="68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6" fillId="0" borderId="1" xfId="2" applyNumberFormat="1" applyFont="1" applyBorder="1" applyAlignment="1">
      <alignment horizontal="center" vertical="top"/>
    </xf>
    <xf numFmtId="0" fontId="6" fillId="0" borderId="0" xfId="2" applyFont="1" applyAlignment="1">
      <alignment horizontal="left" vertical="center" wrapText="1"/>
    </xf>
    <xf numFmtId="0" fontId="16" fillId="0" borderId="0" xfId="2" applyNumberFormat="1" applyFont="1" applyBorder="1" applyAlignment="1">
      <alignment horizontal="center"/>
    </xf>
    <xf numFmtId="0" fontId="17" fillId="0" borderId="0" xfId="2" applyFont="1" applyAlignment="1">
      <alignment horizontal="center" vertical="center" wrapText="1"/>
    </xf>
    <xf numFmtId="4" fontId="20" fillId="0" borderId="4" xfId="2" applyNumberFormat="1" applyFont="1" applyBorder="1" applyAlignment="1">
      <alignment horizontal="center" wrapText="1"/>
    </xf>
    <xf numFmtId="4" fontId="20" fillId="0" borderId="5" xfId="2" applyNumberFormat="1" applyFont="1" applyBorder="1" applyAlignment="1">
      <alignment horizontal="center" wrapText="1"/>
    </xf>
    <xf numFmtId="4" fontId="20" fillId="0" borderId="11" xfId="2" applyNumberFormat="1" applyFont="1" applyBorder="1" applyAlignment="1">
      <alignment horizontal="center" wrapText="1"/>
    </xf>
    <xf numFmtId="0" fontId="11" fillId="0" borderId="0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left" vertical="center" wrapText="1"/>
    </xf>
    <xf numFmtId="0" fontId="1" fillId="0" borderId="0" xfId="2" applyNumberFormat="1" applyFont="1" applyBorder="1" applyAlignment="1">
      <alignment horizontal="left" vertical="center"/>
    </xf>
    <xf numFmtId="0" fontId="6" fillId="0" borderId="50" xfId="2" applyFont="1" applyBorder="1" applyAlignment="1">
      <alignment horizontal="center" vertical="center" wrapText="1"/>
    </xf>
    <xf numFmtId="49" fontId="1" fillId="0" borderId="8" xfId="2" applyNumberFormat="1" applyFont="1" applyBorder="1" applyAlignment="1">
      <alignment horizontal="left"/>
    </xf>
    <xf numFmtId="49" fontId="1" fillId="0" borderId="8" xfId="2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" fillId="0" borderId="0" xfId="2" applyNumberFormat="1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17" fillId="0" borderId="4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22" fillId="0" borderId="50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2" fillId="0" borderId="4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11" fillId="0" borderId="64" xfId="0" applyFont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2" fillId="0" borderId="4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16" fillId="0" borderId="1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11" fillId="0" borderId="4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62" xfId="0" applyFont="1" applyBorder="1" applyAlignment="1">
      <alignment horizontal="center" wrapText="1"/>
    </xf>
    <xf numFmtId="0" fontId="8" fillId="0" borderId="71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3" fontId="6" fillId="0" borderId="4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</cellXfs>
  <cellStyles count="7">
    <cellStyle name="xl38" xfId="3"/>
    <cellStyle name="Обычный" xfId="0" builtinId="0"/>
    <cellStyle name="Обычный 2" xfId="1"/>
    <cellStyle name="Обычный 2 2" xfId="6"/>
    <cellStyle name="Обычный 2 2 2" xfId="4"/>
    <cellStyle name="Обычный 2 3" xfId="5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/&#1086;&#1090;&#1095;&#1077;&#1090;&#1099;%20&#1045;&#1083;&#1077;&#1085;&#1072;%20&#1055;&#1077;&#1090;&#1088;&#1086;&#1074;&#1085;&#1072;%20&#1084;&#1091;&#1085;&#1080;&#1094;/2020/&#1060;&#1061;&#1044;%2020/&#1055;&#1060;&#1061;&#1044;%20&#1089;&#1072;&#1076;&#1099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"/>
      <sheetName val="вспомогательная"/>
      <sheetName val="закупки"/>
      <sheetName val="аренда"/>
      <sheetName val="возмещение"/>
      <sheetName val="Иная 2"/>
      <sheetName val="иная прин "/>
      <sheetName val="Субсидия"/>
      <sheetName val="Z1053"/>
      <sheetName val="71053"/>
      <sheetName val="Дотация"/>
      <sheetName val="Анитеррор"/>
      <sheetName val="мол.специалисты"/>
    </sheetNames>
    <sheetDataSet>
      <sheetData sheetId="0" refreshError="1"/>
      <sheetData sheetId="1" refreshError="1"/>
      <sheetData sheetId="2" refreshError="1">
        <row r="30">
          <cell r="AQ30" t="str">
            <v>Заведующий</v>
          </cell>
          <cell r="BY30" t="str">
            <v>Ускова Н.П.</v>
          </cell>
        </row>
      </sheetData>
      <sheetData sheetId="3" refreshError="1"/>
      <sheetData sheetId="4" refreshError="1">
        <row r="17">
          <cell r="G17" t="str">
            <v>Ускова Н.П.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S112"/>
  <sheetViews>
    <sheetView view="pageBreakPreview" topLeftCell="A53" zoomScaleNormal="110" zoomScaleSheetLayoutView="100" workbookViewId="0">
      <selection activeCell="R40" sqref="R40"/>
    </sheetView>
  </sheetViews>
  <sheetFormatPr defaultColWidth="9.140625" defaultRowHeight="15"/>
  <cols>
    <col min="1" max="1" width="9.140625" style="199"/>
    <col min="2" max="9" width="9.140625" style="200"/>
    <col min="10" max="10" width="14.7109375" style="200" customWidth="1"/>
    <col min="11" max="11" width="11.7109375" style="200" customWidth="1"/>
    <col min="12" max="12" width="10.85546875" style="200" customWidth="1"/>
    <col min="13" max="13" width="11.140625" style="200" customWidth="1"/>
    <col min="14" max="14" width="10.5703125" style="200" customWidth="1"/>
    <col min="15" max="67" width="9.140625" style="199"/>
    <col min="68" max="16384" width="9.140625" style="200"/>
  </cols>
  <sheetData>
    <row r="1" spans="2:14">
      <c r="K1" s="490" t="s">
        <v>123</v>
      </c>
      <c r="L1" s="490"/>
      <c r="M1" s="490"/>
      <c r="N1" s="490"/>
    </row>
    <row r="2" spans="2:14">
      <c r="K2" s="490" t="s">
        <v>401</v>
      </c>
      <c r="L2" s="490"/>
      <c r="M2" s="490"/>
      <c r="N2" s="490"/>
    </row>
    <row r="3" spans="2:14">
      <c r="K3" s="485" t="s">
        <v>118</v>
      </c>
      <c r="L3" s="485"/>
      <c r="M3" s="485"/>
      <c r="N3" s="485"/>
    </row>
    <row r="4" spans="2:14" ht="21.75" customHeight="1">
      <c r="K4" s="486" t="str">
        <f>вспомогательная!K5</f>
        <v>Муниципальное бюджетное дошкольное образовательное учреждение детский сад № 56 города Пензы «Капитошка»</v>
      </c>
      <c r="L4" s="487"/>
      <c r="M4" s="487"/>
      <c r="N4" s="487"/>
    </row>
    <row r="5" spans="2:14">
      <c r="K5" s="485" t="s">
        <v>119</v>
      </c>
      <c r="L5" s="485"/>
      <c r="M5" s="485"/>
      <c r="N5" s="485"/>
    </row>
    <row r="6" spans="2:14">
      <c r="K6" s="488" t="str">
        <f>вспомогательная!K7</f>
        <v>Ускова Н.П.</v>
      </c>
      <c r="L6" s="488"/>
      <c r="M6" s="488"/>
      <c r="N6" s="488"/>
    </row>
    <row r="7" spans="2:14" ht="12" customHeight="1">
      <c r="K7" s="485" t="s">
        <v>120</v>
      </c>
      <c r="L7" s="485"/>
      <c r="M7" s="489" t="s">
        <v>121</v>
      </c>
      <c r="N7" s="489"/>
    </row>
    <row r="8" spans="2:14">
      <c r="K8" s="465" t="str">
        <f>вспомогательная!K9</f>
        <v>"15" июня 2020</v>
      </c>
      <c r="L8" s="465"/>
      <c r="M8" s="465"/>
      <c r="N8" s="465"/>
    </row>
    <row r="9" spans="2:14" ht="15.75" thickBot="1"/>
    <row r="10" spans="2:14" ht="12" customHeight="1">
      <c r="L10" s="12"/>
      <c r="M10" s="12"/>
      <c r="N10" s="466" t="s">
        <v>109</v>
      </c>
    </row>
    <row r="11" spans="2:14" ht="12" customHeight="1" thickBot="1">
      <c r="L11" s="13"/>
      <c r="M11" s="13"/>
      <c r="N11" s="467"/>
    </row>
    <row r="12" spans="2:14" ht="15" customHeight="1">
      <c r="D12" s="468" t="s">
        <v>342</v>
      </c>
      <c r="E12" s="468"/>
      <c r="F12" s="468"/>
      <c r="G12" s="468"/>
      <c r="H12" s="468"/>
      <c r="I12" s="468"/>
      <c r="J12" s="468"/>
      <c r="L12" s="13"/>
      <c r="M12" s="14" t="s">
        <v>110</v>
      </c>
      <c r="N12" s="15" t="str">
        <f>вспомогательная!N13</f>
        <v>15.06.2020</v>
      </c>
    </row>
    <row r="13" spans="2:14" ht="15" customHeight="1">
      <c r="D13" s="468" t="s">
        <v>201</v>
      </c>
      <c r="E13" s="468"/>
      <c r="F13" s="468"/>
      <c r="G13" s="468"/>
      <c r="H13" s="468"/>
      <c r="I13" s="468"/>
      <c r="J13" s="468"/>
      <c r="L13" s="13"/>
      <c r="M13" s="14" t="s">
        <v>111</v>
      </c>
      <c r="N13" s="201"/>
    </row>
    <row r="14" spans="2:14" ht="15" customHeight="1">
      <c r="D14" s="468" t="str">
        <f>вспомогательная!D15</f>
        <v>от "15" июня 2020г.</v>
      </c>
      <c r="E14" s="468"/>
      <c r="F14" s="468"/>
      <c r="G14" s="468"/>
      <c r="H14" s="468"/>
      <c r="I14" s="468"/>
      <c r="J14" s="468"/>
      <c r="L14" s="13"/>
      <c r="M14" s="14" t="s">
        <v>112</v>
      </c>
      <c r="N14" s="201" t="s">
        <v>365</v>
      </c>
    </row>
    <row r="15" spans="2:14" ht="12" customHeight="1">
      <c r="B15" s="482" t="s">
        <v>392</v>
      </c>
      <c r="C15" s="482"/>
      <c r="D15" s="482"/>
      <c r="E15" s="258"/>
      <c r="F15" s="18"/>
      <c r="G15" s="18"/>
      <c r="H15" s="18"/>
      <c r="I15" s="18"/>
      <c r="L15" s="13"/>
      <c r="M15" s="14" t="s">
        <v>111</v>
      </c>
      <c r="N15" s="201"/>
    </row>
    <row r="16" spans="2:14" ht="12" customHeight="1">
      <c r="B16" s="482" t="s">
        <v>393</v>
      </c>
      <c r="C16" s="482"/>
      <c r="D16" s="482"/>
      <c r="E16" s="482"/>
      <c r="F16" s="483" t="s">
        <v>394</v>
      </c>
      <c r="G16" s="483"/>
      <c r="H16" s="483"/>
      <c r="I16" s="483"/>
      <c r="L16" s="13"/>
      <c r="M16" s="14" t="s">
        <v>113</v>
      </c>
      <c r="N16" s="340" t="str">
        <f>вспомогательная!N17</f>
        <v>5834015324</v>
      </c>
    </row>
    <row r="17" spans="1:67" ht="28.5" customHeight="1">
      <c r="B17" s="18" t="s">
        <v>395</v>
      </c>
      <c r="C17" s="18"/>
      <c r="D17" s="484" t="str">
        <f>вспомогательная!D18</f>
        <v>Муниципальное бюджетное дошкольное образовательное учреждение детский сад № 56 города Пензы «Капитошка»</v>
      </c>
      <c r="E17" s="484"/>
      <c r="F17" s="484"/>
      <c r="G17" s="484"/>
      <c r="H17" s="484"/>
      <c r="I17" s="484"/>
      <c r="J17" s="484"/>
      <c r="L17" s="13"/>
      <c r="M17" s="14" t="s">
        <v>114</v>
      </c>
      <c r="N17" s="340" t="str">
        <f>вспомогательная!N18</f>
        <v>583401001</v>
      </c>
    </row>
    <row r="18" spans="1:67" ht="12" customHeight="1" thickBot="1">
      <c r="B18" s="18" t="s">
        <v>396</v>
      </c>
      <c r="C18" s="18"/>
      <c r="D18" s="18"/>
      <c r="E18" s="18"/>
      <c r="F18" s="18"/>
      <c r="G18" s="18"/>
      <c r="H18" s="18"/>
      <c r="I18" s="18"/>
      <c r="L18" s="13"/>
      <c r="M18" s="14" t="s">
        <v>115</v>
      </c>
      <c r="N18" s="202" t="s">
        <v>116</v>
      </c>
    </row>
    <row r="19" spans="1:67">
      <c r="E19" s="203" t="s">
        <v>117</v>
      </c>
      <c r="F19" s="203"/>
      <c r="G19" s="203"/>
      <c r="H19" s="203"/>
    </row>
    <row r="20" spans="1:67" ht="15.75" thickBot="1"/>
    <row r="21" spans="1:67">
      <c r="B21" s="469" t="s">
        <v>0</v>
      </c>
      <c r="C21" s="470"/>
      <c r="D21" s="470"/>
      <c r="E21" s="470"/>
      <c r="F21" s="470"/>
      <c r="G21" s="470"/>
      <c r="H21" s="475" t="s">
        <v>1</v>
      </c>
      <c r="I21" s="475" t="s">
        <v>2</v>
      </c>
      <c r="J21" s="478" t="s">
        <v>3</v>
      </c>
      <c r="K21" s="480" t="s">
        <v>4</v>
      </c>
      <c r="L21" s="480"/>
      <c r="M21" s="480"/>
      <c r="N21" s="481"/>
    </row>
    <row r="22" spans="1:67">
      <c r="B22" s="471"/>
      <c r="C22" s="472"/>
      <c r="D22" s="472"/>
      <c r="E22" s="472"/>
      <c r="F22" s="472"/>
      <c r="G22" s="472"/>
      <c r="H22" s="476"/>
      <c r="I22" s="476"/>
      <c r="J22" s="479"/>
      <c r="K22" s="60" t="s">
        <v>195</v>
      </c>
      <c r="L22" s="60" t="s">
        <v>196</v>
      </c>
      <c r="M22" s="60" t="s">
        <v>197</v>
      </c>
      <c r="N22" s="491" t="s">
        <v>7</v>
      </c>
    </row>
    <row r="23" spans="1:67" ht="36.75" customHeight="1">
      <c r="B23" s="473"/>
      <c r="C23" s="474"/>
      <c r="D23" s="474"/>
      <c r="E23" s="474"/>
      <c r="F23" s="474"/>
      <c r="G23" s="474"/>
      <c r="H23" s="477"/>
      <c r="I23" s="477"/>
      <c r="J23" s="479"/>
      <c r="K23" s="61" t="s">
        <v>8</v>
      </c>
      <c r="L23" s="61" t="s">
        <v>9</v>
      </c>
      <c r="M23" s="61" t="s">
        <v>10</v>
      </c>
      <c r="N23" s="491"/>
    </row>
    <row r="24" spans="1:67" ht="15.75" thickBot="1">
      <c r="B24" s="459" t="s">
        <v>11</v>
      </c>
      <c r="C24" s="460"/>
      <c r="D24" s="460"/>
      <c r="E24" s="460"/>
      <c r="F24" s="460"/>
      <c r="G24" s="460"/>
      <c r="H24" s="204" t="s">
        <v>12</v>
      </c>
      <c r="I24" s="204" t="s">
        <v>13</v>
      </c>
      <c r="J24" s="204" t="s">
        <v>14</v>
      </c>
      <c r="K24" s="204" t="s">
        <v>15</v>
      </c>
      <c r="L24" s="204" t="s">
        <v>16</v>
      </c>
      <c r="M24" s="204" t="s">
        <v>17</v>
      </c>
      <c r="N24" s="205" t="s">
        <v>18</v>
      </c>
    </row>
    <row r="25" spans="1:67">
      <c r="B25" s="413" t="s">
        <v>19</v>
      </c>
      <c r="C25" s="398"/>
      <c r="D25" s="398"/>
      <c r="E25" s="398"/>
      <c r="F25" s="398"/>
      <c r="G25" s="398"/>
      <c r="H25" s="206" t="s">
        <v>20</v>
      </c>
      <c r="I25" s="207" t="s">
        <v>21</v>
      </c>
      <c r="J25" s="208" t="s">
        <v>21</v>
      </c>
      <c r="K25" s="248">
        <f>вспомогательная!K26</f>
        <v>192833.16</v>
      </c>
      <c r="L25" s="248">
        <f>вспомогательная!L26</f>
        <v>0</v>
      </c>
      <c r="M25" s="248">
        <f>вспомогательная!M26</f>
        <v>0</v>
      </c>
      <c r="N25" s="48"/>
    </row>
    <row r="26" spans="1:67">
      <c r="B26" s="413" t="s">
        <v>22</v>
      </c>
      <c r="C26" s="398"/>
      <c r="D26" s="398"/>
      <c r="E26" s="398"/>
      <c r="F26" s="398"/>
      <c r="G26" s="398"/>
      <c r="H26" s="195" t="s">
        <v>23</v>
      </c>
      <c r="I26" s="171" t="s">
        <v>21</v>
      </c>
      <c r="J26" s="209" t="s">
        <v>21</v>
      </c>
      <c r="K26" s="193">
        <f>K25+K27-K53</f>
        <v>0</v>
      </c>
      <c r="L26" s="193">
        <f t="shared" ref="L26:M26" si="0">L25+L27-L53</f>
        <v>0</v>
      </c>
      <c r="M26" s="193">
        <f t="shared" si="0"/>
        <v>0</v>
      </c>
      <c r="N26" s="190"/>
    </row>
    <row r="27" spans="1:67" s="214" customFormat="1">
      <c r="A27" s="199"/>
      <c r="B27" s="461" t="s">
        <v>24</v>
      </c>
      <c r="C27" s="462"/>
      <c r="D27" s="462"/>
      <c r="E27" s="462"/>
      <c r="F27" s="462"/>
      <c r="G27" s="462"/>
      <c r="H27" s="211" t="s">
        <v>25</v>
      </c>
      <c r="I27" s="212"/>
      <c r="J27" s="213"/>
      <c r="K27" s="379">
        <f>K28+K31+K34+K37+K40+K44+K50</f>
        <v>55681441.840000004</v>
      </c>
      <c r="L27" s="379">
        <f t="shared" ref="L27:M27" si="1">L28+L31+L34+L37+L40+L44+L50</f>
        <v>55422000</v>
      </c>
      <c r="M27" s="379">
        <f t="shared" si="1"/>
        <v>57328543</v>
      </c>
      <c r="N27" s="52"/>
      <c r="O27" s="199">
        <v>120</v>
      </c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</row>
    <row r="28" spans="1:67" hidden="1">
      <c r="B28" s="463" t="s">
        <v>26</v>
      </c>
      <c r="C28" s="464"/>
      <c r="D28" s="464"/>
      <c r="E28" s="464"/>
      <c r="F28" s="464"/>
      <c r="G28" s="464"/>
      <c r="H28" s="195" t="s">
        <v>27</v>
      </c>
      <c r="I28" s="171" t="s">
        <v>28</v>
      </c>
      <c r="J28" s="209"/>
      <c r="K28" s="193">
        <f t="shared" ref="K28:M28" si="2">K29</f>
        <v>0</v>
      </c>
      <c r="L28" s="193">
        <f t="shared" si="2"/>
        <v>0</v>
      </c>
      <c r="M28" s="193">
        <f t="shared" si="2"/>
        <v>0</v>
      </c>
      <c r="N28" s="190"/>
    </row>
    <row r="29" spans="1:67" hidden="1">
      <c r="B29" s="452" t="s">
        <v>29</v>
      </c>
      <c r="C29" s="453"/>
      <c r="D29" s="453"/>
      <c r="E29" s="453"/>
      <c r="F29" s="453"/>
      <c r="G29" s="453"/>
      <c r="H29" s="444" t="s">
        <v>30</v>
      </c>
      <c r="I29" s="457"/>
      <c r="J29" s="448"/>
      <c r="K29" s="454"/>
      <c r="L29" s="454"/>
      <c r="M29" s="454"/>
      <c r="N29" s="436"/>
    </row>
    <row r="30" spans="1:67" ht="11.25" hidden="1" customHeight="1">
      <c r="B30" s="455"/>
      <c r="C30" s="456"/>
      <c r="D30" s="456"/>
      <c r="E30" s="456"/>
      <c r="F30" s="456"/>
      <c r="G30" s="456"/>
      <c r="H30" s="445"/>
      <c r="I30" s="458"/>
      <c r="J30" s="448"/>
      <c r="K30" s="454"/>
      <c r="L30" s="454"/>
      <c r="M30" s="454"/>
      <c r="N30" s="436"/>
    </row>
    <row r="31" spans="1:67">
      <c r="B31" s="426" t="s">
        <v>31</v>
      </c>
      <c r="C31" s="427"/>
      <c r="D31" s="427"/>
      <c r="E31" s="427"/>
      <c r="F31" s="427"/>
      <c r="G31" s="427"/>
      <c r="H31" s="235" t="s">
        <v>32</v>
      </c>
      <c r="I31" s="236" t="s">
        <v>33</v>
      </c>
      <c r="J31" s="209"/>
      <c r="K31" s="193">
        <f t="shared" ref="K31:M31" si="3">K32</f>
        <v>44939296</v>
      </c>
      <c r="L31" s="193">
        <f t="shared" si="3"/>
        <v>46427051</v>
      </c>
      <c r="M31" s="193">
        <f t="shared" si="3"/>
        <v>48333594</v>
      </c>
      <c r="N31" s="190"/>
    </row>
    <row r="32" spans="1:67">
      <c r="B32" s="416" t="s">
        <v>34</v>
      </c>
      <c r="C32" s="417"/>
      <c r="D32" s="417"/>
      <c r="E32" s="417"/>
      <c r="F32" s="417"/>
      <c r="G32" s="417"/>
      <c r="H32" s="195" t="s">
        <v>35</v>
      </c>
      <c r="I32" s="171" t="s">
        <v>33</v>
      </c>
      <c r="J32" s="209"/>
      <c r="K32" s="46">
        <f>вспомогательная!K33</f>
        <v>44939296</v>
      </c>
      <c r="L32" s="46">
        <f>вспомогательная!L33</f>
        <v>46427051</v>
      </c>
      <c r="M32" s="46">
        <f>вспомогательная!M33</f>
        <v>48333594</v>
      </c>
      <c r="N32" s="190"/>
      <c r="O32" s="199">
        <v>131</v>
      </c>
    </row>
    <row r="33" spans="2:15" hidden="1">
      <c r="B33" s="410"/>
      <c r="C33" s="411"/>
      <c r="D33" s="411"/>
      <c r="E33" s="411"/>
      <c r="F33" s="411"/>
      <c r="G33" s="412"/>
      <c r="H33" s="195"/>
      <c r="I33" s="171"/>
      <c r="J33" s="209"/>
      <c r="K33" s="46"/>
      <c r="L33" s="46"/>
      <c r="M33" s="46"/>
      <c r="N33" s="190"/>
    </row>
    <row r="34" spans="2:15" hidden="1">
      <c r="B34" s="426" t="s">
        <v>36</v>
      </c>
      <c r="C34" s="427"/>
      <c r="D34" s="427"/>
      <c r="E34" s="427"/>
      <c r="F34" s="427"/>
      <c r="G34" s="427"/>
      <c r="H34" s="195" t="s">
        <v>37</v>
      </c>
      <c r="I34" s="171" t="s">
        <v>38</v>
      </c>
      <c r="J34" s="209"/>
      <c r="K34" s="46">
        <f t="shared" ref="K34:M34" si="4">K35</f>
        <v>0</v>
      </c>
      <c r="L34" s="46">
        <f t="shared" si="4"/>
        <v>0</v>
      </c>
      <c r="M34" s="46">
        <f t="shared" si="4"/>
        <v>0</v>
      </c>
      <c r="N34" s="190"/>
    </row>
    <row r="35" spans="2:15" hidden="1">
      <c r="B35" s="452" t="s">
        <v>29</v>
      </c>
      <c r="C35" s="453"/>
      <c r="D35" s="453"/>
      <c r="E35" s="453"/>
      <c r="F35" s="453"/>
      <c r="G35" s="453"/>
      <c r="H35" s="444" t="s">
        <v>39</v>
      </c>
      <c r="I35" s="446" t="s">
        <v>38</v>
      </c>
      <c r="J35" s="448"/>
      <c r="K35" s="449">
        <f>вспомогательная!K36</f>
        <v>0</v>
      </c>
      <c r="L35" s="449">
        <f>вспомогательная!L36</f>
        <v>0</v>
      </c>
      <c r="M35" s="449">
        <f>вспомогательная!M36</f>
        <v>0</v>
      </c>
      <c r="N35" s="436"/>
    </row>
    <row r="36" spans="2:15" hidden="1">
      <c r="B36" s="455"/>
      <c r="C36" s="456"/>
      <c r="D36" s="456"/>
      <c r="E36" s="456"/>
      <c r="F36" s="456"/>
      <c r="G36" s="456"/>
      <c r="H36" s="445"/>
      <c r="I36" s="447"/>
      <c r="J36" s="448"/>
      <c r="K36" s="449"/>
      <c r="L36" s="449"/>
      <c r="M36" s="449"/>
      <c r="N36" s="436"/>
    </row>
    <row r="37" spans="2:15" hidden="1">
      <c r="B37" s="426" t="s">
        <v>40</v>
      </c>
      <c r="C37" s="427"/>
      <c r="D37" s="427"/>
      <c r="E37" s="427"/>
      <c r="F37" s="427"/>
      <c r="G37" s="427"/>
      <c r="H37" s="195" t="s">
        <v>41</v>
      </c>
      <c r="I37" s="171" t="s">
        <v>42</v>
      </c>
      <c r="J37" s="209"/>
      <c r="K37" s="46">
        <f t="shared" ref="K37:M37" si="5">K38</f>
        <v>0</v>
      </c>
      <c r="L37" s="46">
        <f t="shared" si="5"/>
        <v>0</v>
      </c>
      <c r="M37" s="46">
        <f t="shared" si="5"/>
        <v>0</v>
      </c>
      <c r="N37" s="190"/>
    </row>
    <row r="38" spans="2:15" hidden="1">
      <c r="B38" s="442" t="s">
        <v>29</v>
      </c>
      <c r="C38" s="443"/>
      <c r="D38" s="443"/>
      <c r="E38" s="443"/>
      <c r="F38" s="443"/>
      <c r="G38" s="443"/>
      <c r="H38" s="444"/>
      <c r="I38" s="446"/>
      <c r="J38" s="448"/>
      <c r="K38" s="449">
        <f>вспомогательная!K39</f>
        <v>0</v>
      </c>
      <c r="L38" s="449">
        <f>вспомогательная!L39</f>
        <v>0</v>
      </c>
      <c r="M38" s="449">
        <f>вспомогательная!M39</f>
        <v>0</v>
      </c>
      <c r="N38" s="436"/>
    </row>
    <row r="39" spans="2:15" hidden="1">
      <c r="B39" s="450"/>
      <c r="C39" s="429"/>
      <c r="D39" s="429"/>
      <c r="E39" s="429"/>
      <c r="F39" s="429"/>
      <c r="G39" s="429"/>
      <c r="H39" s="445"/>
      <c r="I39" s="447"/>
      <c r="J39" s="448"/>
      <c r="K39" s="449"/>
      <c r="L39" s="449"/>
      <c r="M39" s="449"/>
      <c r="N39" s="436"/>
    </row>
    <row r="40" spans="2:15">
      <c r="B40" s="426" t="s">
        <v>43</v>
      </c>
      <c r="C40" s="427"/>
      <c r="D40" s="427"/>
      <c r="E40" s="427"/>
      <c r="F40" s="427"/>
      <c r="G40" s="427"/>
      <c r="H40" s="195" t="s">
        <v>44</v>
      </c>
      <c r="I40" s="171" t="s">
        <v>45</v>
      </c>
      <c r="J40" s="209"/>
      <c r="K40" s="46">
        <f>K41</f>
        <v>3667499</v>
      </c>
      <c r="L40" s="46">
        <f t="shared" ref="L40:M40" si="6">L41</f>
        <v>1727469</v>
      </c>
      <c r="M40" s="46">
        <f t="shared" si="6"/>
        <v>1727469</v>
      </c>
      <c r="N40" s="190"/>
      <c r="O40" s="199">
        <v>183</v>
      </c>
    </row>
    <row r="41" spans="2:15">
      <c r="B41" s="442" t="s">
        <v>29</v>
      </c>
      <c r="C41" s="443"/>
      <c r="D41" s="443"/>
      <c r="E41" s="443"/>
      <c r="F41" s="443"/>
      <c r="G41" s="443"/>
      <c r="H41" s="444" t="s">
        <v>46</v>
      </c>
      <c r="I41" s="446" t="s">
        <v>45</v>
      </c>
      <c r="J41" s="448"/>
      <c r="K41" s="451">
        <f>вспомогательная!K42</f>
        <v>3667499</v>
      </c>
      <c r="L41" s="451">
        <f>вспомогательная!L42</f>
        <v>1727469</v>
      </c>
      <c r="M41" s="451">
        <f>вспомогательная!M42</f>
        <v>1727469</v>
      </c>
      <c r="N41" s="436"/>
    </row>
    <row r="42" spans="2:15">
      <c r="B42" s="450" t="s">
        <v>47</v>
      </c>
      <c r="C42" s="429"/>
      <c r="D42" s="429"/>
      <c r="E42" s="429"/>
      <c r="F42" s="429"/>
      <c r="G42" s="429"/>
      <c r="H42" s="445"/>
      <c r="I42" s="447"/>
      <c r="J42" s="448"/>
      <c r="K42" s="451"/>
      <c r="L42" s="451"/>
      <c r="M42" s="451"/>
      <c r="N42" s="436"/>
    </row>
    <row r="43" spans="2:15" hidden="1">
      <c r="B43" s="428"/>
      <c r="C43" s="429"/>
      <c r="D43" s="429"/>
      <c r="E43" s="429"/>
      <c r="F43" s="429"/>
      <c r="G43" s="429"/>
      <c r="H43" s="195"/>
      <c r="I43" s="171"/>
      <c r="J43" s="209"/>
      <c r="K43" s="193"/>
      <c r="L43" s="193"/>
      <c r="M43" s="193"/>
      <c r="N43" s="190"/>
    </row>
    <row r="44" spans="2:15">
      <c r="B44" s="426" t="s">
        <v>48</v>
      </c>
      <c r="C44" s="427"/>
      <c r="D44" s="427"/>
      <c r="E44" s="427"/>
      <c r="F44" s="427"/>
      <c r="G44" s="427"/>
      <c r="H44" s="195" t="s">
        <v>49</v>
      </c>
      <c r="I44" s="171"/>
      <c r="J44" s="209"/>
      <c r="K44" s="379">
        <f t="shared" ref="K44:M44" si="7">K45+K47+K48+K49</f>
        <v>7074646.8399999999</v>
      </c>
      <c r="L44" s="379">
        <f t="shared" si="7"/>
        <v>7267480</v>
      </c>
      <c r="M44" s="379">
        <f t="shared" si="7"/>
        <v>7267480</v>
      </c>
      <c r="N44" s="190"/>
      <c r="O44" s="199">
        <v>131</v>
      </c>
    </row>
    <row r="45" spans="2:15">
      <c r="B45" s="442" t="s">
        <v>29</v>
      </c>
      <c r="C45" s="443"/>
      <c r="D45" s="443"/>
      <c r="E45" s="443"/>
      <c r="F45" s="443"/>
      <c r="G45" s="443"/>
      <c r="H45" s="444"/>
      <c r="I45" s="446"/>
      <c r="J45" s="448"/>
      <c r="K45" s="434">
        <f>вспомогательная!K46</f>
        <v>5908030.6699999999</v>
      </c>
      <c r="L45" s="434">
        <f>вспомогательная!L46</f>
        <v>6046680</v>
      </c>
      <c r="M45" s="434">
        <f>вспомогательная!M46</f>
        <v>6046680</v>
      </c>
      <c r="N45" s="436"/>
    </row>
    <row r="46" spans="2:15">
      <c r="B46" s="437" t="s">
        <v>186</v>
      </c>
      <c r="C46" s="438"/>
      <c r="D46" s="438"/>
      <c r="E46" s="438"/>
      <c r="F46" s="438"/>
      <c r="G46" s="438"/>
      <c r="H46" s="445"/>
      <c r="I46" s="447"/>
      <c r="J46" s="448"/>
      <c r="K46" s="435"/>
      <c r="L46" s="435"/>
      <c r="M46" s="435"/>
      <c r="N46" s="436"/>
    </row>
    <row r="47" spans="2:15" ht="15" hidden="1" customHeight="1">
      <c r="B47" s="439" t="s">
        <v>402</v>
      </c>
      <c r="C47" s="440"/>
      <c r="D47" s="440"/>
      <c r="E47" s="440"/>
      <c r="F47" s="440"/>
      <c r="G47" s="440"/>
      <c r="H47" s="195"/>
      <c r="I47" s="171"/>
      <c r="J47" s="209"/>
      <c r="K47" s="380">
        <f>вспомогательная!K48</f>
        <v>0</v>
      </c>
      <c r="L47" s="380">
        <f>вспомогательная!L48</f>
        <v>0</v>
      </c>
      <c r="M47" s="380">
        <f>вспомогательная!M48</f>
        <v>0</v>
      </c>
      <c r="N47" s="190"/>
    </row>
    <row r="48" spans="2:15" ht="15" hidden="1" customHeight="1">
      <c r="B48" s="439" t="s">
        <v>187</v>
      </c>
      <c r="C48" s="440"/>
      <c r="D48" s="440"/>
      <c r="E48" s="440"/>
      <c r="F48" s="440"/>
      <c r="G48" s="440"/>
      <c r="H48" s="195"/>
      <c r="I48" s="171"/>
      <c r="J48" s="209"/>
      <c r="K48" s="380">
        <f>вспомогательная!K49</f>
        <v>0</v>
      </c>
      <c r="L48" s="380">
        <f>вспомогательная!L49</f>
        <v>0</v>
      </c>
      <c r="M48" s="380">
        <f>вспомогательная!M49</f>
        <v>0</v>
      </c>
      <c r="N48" s="190"/>
    </row>
    <row r="49" spans="1:71">
      <c r="B49" s="441" t="s">
        <v>188</v>
      </c>
      <c r="C49" s="438"/>
      <c r="D49" s="438"/>
      <c r="E49" s="438"/>
      <c r="F49" s="438"/>
      <c r="G49" s="438"/>
      <c r="H49" s="195"/>
      <c r="I49" s="171"/>
      <c r="J49" s="209"/>
      <c r="K49" s="380">
        <f>вспомогательная!K50</f>
        <v>1166616.17</v>
      </c>
      <c r="L49" s="380">
        <f>вспомогательная!L50</f>
        <v>1220800</v>
      </c>
      <c r="M49" s="380">
        <f>вспомогательная!M50</f>
        <v>1220800</v>
      </c>
      <c r="N49" s="190"/>
    </row>
    <row r="50" spans="1:71" ht="15" hidden="1" customHeight="1">
      <c r="B50" s="426" t="s">
        <v>50</v>
      </c>
      <c r="C50" s="427"/>
      <c r="D50" s="427"/>
      <c r="E50" s="427"/>
      <c r="F50" s="427"/>
      <c r="G50" s="427"/>
      <c r="H50" s="195" t="s">
        <v>51</v>
      </c>
      <c r="I50" s="171" t="s">
        <v>21</v>
      </c>
      <c r="J50" s="209"/>
      <c r="K50" s="378">
        <f t="shared" ref="K50:M50" si="8">K51</f>
        <v>0</v>
      </c>
      <c r="L50" s="378">
        <f t="shared" si="8"/>
        <v>0</v>
      </c>
      <c r="M50" s="378">
        <f t="shared" si="8"/>
        <v>0</v>
      </c>
      <c r="N50" s="190"/>
    </row>
    <row r="51" spans="1:71" ht="15" hidden="1" customHeight="1">
      <c r="B51" s="416" t="s">
        <v>52</v>
      </c>
      <c r="C51" s="417"/>
      <c r="D51" s="417"/>
      <c r="E51" s="417"/>
      <c r="F51" s="417"/>
      <c r="G51" s="417"/>
      <c r="H51" s="195" t="s">
        <v>53</v>
      </c>
      <c r="I51" s="171" t="s">
        <v>54</v>
      </c>
      <c r="J51" s="209"/>
      <c r="K51" s="378"/>
      <c r="L51" s="378"/>
      <c r="M51" s="378"/>
      <c r="N51" s="190" t="s">
        <v>21</v>
      </c>
    </row>
    <row r="52" spans="1:71" ht="15" hidden="1" customHeight="1">
      <c r="B52" s="428"/>
      <c r="C52" s="429"/>
      <c r="D52" s="429"/>
      <c r="E52" s="429"/>
      <c r="F52" s="429"/>
      <c r="G52" s="429"/>
      <c r="H52" s="195"/>
      <c r="I52" s="171"/>
      <c r="J52" s="209"/>
      <c r="K52" s="378"/>
      <c r="L52" s="378"/>
      <c r="M52" s="378"/>
      <c r="N52" s="190"/>
    </row>
    <row r="53" spans="1:71" s="218" customFormat="1">
      <c r="A53" s="199"/>
      <c r="B53" s="430" t="s">
        <v>55</v>
      </c>
      <c r="C53" s="431"/>
      <c r="D53" s="431"/>
      <c r="E53" s="431"/>
      <c r="F53" s="431"/>
      <c r="G53" s="431"/>
      <c r="H53" s="215" t="s">
        <v>56</v>
      </c>
      <c r="I53" s="216" t="s">
        <v>21</v>
      </c>
      <c r="J53" s="217"/>
      <c r="K53" s="381">
        <f>K54+K59+K62+K77+K84+K86+K106</f>
        <v>55874275</v>
      </c>
      <c r="L53" s="381">
        <f>L54+L59+L62+L77+L84+L86+L106</f>
        <v>55422000</v>
      </c>
      <c r="M53" s="381">
        <f>M54+M59+M62+M77+M84+M86+M106</f>
        <v>57328543</v>
      </c>
      <c r="N53" s="65"/>
      <c r="O53" s="199">
        <v>200</v>
      </c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</row>
    <row r="54" spans="1:71" s="222" customFormat="1">
      <c r="A54" s="199"/>
      <c r="B54" s="432" t="s">
        <v>57</v>
      </c>
      <c r="C54" s="433"/>
      <c r="D54" s="433"/>
      <c r="E54" s="433"/>
      <c r="F54" s="433"/>
      <c r="G54" s="433"/>
      <c r="H54" s="219" t="s">
        <v>58</v>
      </c>
      <c r="I54" s="220" t="s">
        <v>21</v>
      </c>
      <c r="J54" s="221"/>
      <c r="K54" s="45">
        <f>K55+K56</f>
        <v>30970421.039999999</v>
      </c>
      <c r="L54" s="45">
        <f>L55+L56</f>
        <v>32088444.879999999</v>
      </c>
      <c r="M54" s="45">
        <f>M55+M56</f>
        <v>33382005.879999999</v>
      </c>
      <c r="N54" s="55" t="s">
        <v>21</v>
      </c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</row>
    <row r="55" spans="1:71">
      <c r="B55" s="416" t="s">
        <v>59</v>
      </c>
      <c r="C55" s="417"/>
      <c r="D55" s="417"/>
      <c r="E55" s="417"/>
      <c r="F55" s="417"/>
      <c r="G55" s="417"/>
      <c r="H55" s="195" t="s">
        <v>60</v>
      </c>
      <c r="I55" s="171" t="s">
        <v>61</v>
      </c>
      <c r="J55" s="223" t="s">
        <v>327</v>
      </c>
      <c r="K55" s="163">
        <f>вспомогательная!K56</f>
        <v>30733267.039999999</v>
      </c>
      <c r="L55" s="163">
        <f>вспомогательная!L56</f>
        <v>32078344.879999999</v>
      </c>
      <c r="M55" s="163">
        <f>вспомогательная!M56</f>
        <v>33371905.879999999</v>
      </c>
      <c r="N55" s="190" t="s">
        <v>21</v>
      </c>
    </row>
    <row r="56" spans="1:71" s="199" customFormat="1">
      <c r="B56" s="410"/>
      <c r="C56" s="411"/>
      <c r="D56" s="411"/>
      <c r="E56" s="411"/>
      <c r="F56" s="411"/>
      <c r="G56" s="412"/>
      <c r="H56" s="195"/>
      <c r="I56" s="171"/>
      <c r="J56" s="223" t="s">
        <v>328</v>
      </c>
      <c r="K56" s="163">
        <f>вспомогательная!K73</f>
        <v>237154</v>
      </c>
      <c r="L56" s="163">
        <f>вспомогательная!L73</f>
        <v>10100</v>
      </c>
      <c r="M56" s="163">
        <f>вспомогательная!M73</f>
        <v>10100</v>
      </c>
      <c r="N56" s="190"/>
      <c r="BP56" s="200"/>
      <c r="BQ56" s="200"/>
      <c r="BR56" s="200"/>
      <c r="BS56" s="200"/>
    </row>
    <row r="57" spans="1:71" s="199" customFormat="1" hidden="1">
      <c r="B57" s="172"/>
      <c r="C57" s="173"/>
      <c r="D57" s="173"/>
      <c r="E57" s="173"/>
      <c r="F57" s="173"/>
      <c r="G57" s="173"/>
      <c r="H57" s="195"/>
      <c r="I57" s="171"/>
      <c r="J57" s="209"/>
      <c r="K57" s="193"/>
      <c r="L57" s="193"/>
      <c r="M57" s="193"/>
      <c r="N57" s="190"/>
      <c r="BP57" s="200"/>
      <c r="BQ57" s="200"/>
      <c r="BR57" s="200"/>
      <c r="BS57" s="200"/>
    </row>
    <row r="58" spans="1:71" s="199" customFormat="1" hidden="1">
      <c r="B58" s="172"/>
      <c r="C58" s="173"/>
      <c r="D58" s="173"/>
      <c r="E58" s="173"/>
      <c r="F58" s="173"/>
      <c r="G58" s="173"/>
      <c r="H58" s="195"/>
      <c r="I58" s="171"/>
      <c r="J58" s="209"/>
      <c r="K58" s="193"/>
      <c r="L58" s="193"/>
      <c r="M58" s="193"/>
      <c r="N58" s="190"/>
      <c r="BP58" s="200"/>
      <c r="BQ58" s="200"/>
      <c r="BR58" s="200"/>
      <c r="BS58" s="200"/>
    </row>
    <row r="59" spans="1:71" s="222" customFormat="1">
      <c r="A59" s="199"/>
      <c r="B59" s="420" t="s">
        <v>62</v>
      </c>
      <c r="C59" s="421"/>
      <c r="D59" s="421"/>
      <c r="E59" s="421"/>
      <c r="F59" s="421"/>
      <c r="G59" s="421"/>
      <c r="H59" s="219" t="s">
        <v>63</v>
      </c>
      <c r="I59" s="220" t="s">
        <v>64</v>
      </c>
      <c r="J59" s="221"/>
      <c r="K59" s="45">
        <f>K60</f>
        <v>9000</v>
      </c>
      <c r="L59" s="45">
        <f t="shared" ref="L59:M59" si="9">L60</f>
        <v>9000</v>
      </c>
      <c r="M59" s="45">
        <f t="shared" si="9"/>
        <v>9000</v>
      </c>
      <c r="N59" s="55" t="s">
        <v>21</v>
      </c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</row>
    <row r="60" spans="1:71" s="199" customFormat="1">
      <c r="B60" s="68"/>
      <c r="C60" s="39"/>
      <c r="D60" s="39"/>
      <c r="E60" s="39"/>
      <c r="F60" s="39"/>
      <c r="G60" s="39"/>
      <c r="H60" s="224"/>
      <c r="I60" s="225"/>
      <c r="J60" s="223">
        <v>266</v>
      </c>
      <c r="K60" s="168">
        <f>вспомогательная!K90</f>
        <v>9000</v>
      </c>
      <c r="L60" s="168">
        <f>вспомогательная!L90</f>
        <v>9000</v>
      </c>
      <c r="M60" s="168">
        <f>вспомогательная!M90</f>
        <v>9000</v>
      </c>
      <c r="N60" s="56"/>
    </row>
    <row r="61" spans="1:71" s="199" customFormat="1" hidden="1">
      <c r="B61" s="68"/>
      <c r="C61" s="39"/>
      <c r="D61" s="39"/>
      <c r="E61" s="39"/>
      <c r="F61" s="39"/>
      <c r="G61" s="39"/>
      <c r="H61" s="224"/>
      <c r="I61" s="225"/>
      <c r="J61" s="209"/>
      <c r="K61" s="46"/>
      <c r="L61" s="46"/>
      <c r="M61" s="46"/>
      <c r="N61" s="56"/>
    </row>
    <row r="62" spans="1:71" s="222" customFormat="1" ht="24" customHeight="1">
      <c r="A62" s="199"/>
      <c r="B62" s="422" t="s">
        <v>65</v>
      </c>
      <c r="C62" s="423"/>
      <c r="D62" s="423"/>
      <c r="E62" s="423"/>
      <c r="F62" s="423"/>
      <c r="G62" s="423"/>
      <c r="H62" s="219" t="s">
        <v>66</v>
      </c>
      <c r="I62" s="220" t="s">
        <v>67</v>
      </c>
      <c r="J62" s="221"/>
      <c r="K62" s="45">
        <f>K63+K73</f>
        <v>9340809.5999999996</v>
      </c>
      <c r="L62" s="45">
        <f>L63+L73</f>
        <v>9690710.7599999998</v>
      </c>
      <c r="M62" s="45">
        <f>M63+M73</f>
        <v>10081365.76</v>
      </c>
      <c r="N62" s="55" t="s">
        <v>21</v>
      </c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</row>
    <row r="63" spans="1:71" s="226" customFormat="1">
      <c r="B63" s="424" t="s">
        <v>68</v>
      </c>
      <c r="C63" s="425"/>
      <c r="D63" s="425"/>
      <c r="E63" s="425"/>
      <c r="F63" s="425"/>
      <c r="G63" s="425"/>
      <c r="H63" s="227" t="s">
        <v>69</v>
      </c>
      <c r="I63" s="228" t="s">
        <v>67</v>
      </c>
      <c r="J63" s="229"/>
      <c r="K63" s="77">
        <f>K64</f>
        <v>9340809.5999999996</v>
      </c>
      <c r="L63" s="77">
        <f t="shared" ref="L63:M63" si="10">L64</f>
        <v>9690710.7599999998</v>
      </c>
      <c r="M63" s="77">
        <f t="shared" si="10"/>
        <v>10081365.76</v>
      </c>
      <c r="N63" s="78" t="s">
        <v>21</v>
      </c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</row>
    <row r="64" spans="1:71">
      <c r="B64" s="410"/>
      <c r="C64" s="411"/>
      <c r="D64" s="411"/>
      <c r="E64" s="411"/>
      <c r="F64" s="411"/>
      <c r="G64" s="412"/>
      <c r="H64" s="231"/>
      <c r="I64" s="232"/>
      <c r="J64" s="223" t="s">
        <v>341</v>
      </c>
      <c r="K64" s="163">
        <f>вспомогательная!K94</f>
        <v>9340809.5999999996</v>
      </c>
      <c r="L64" s="163">
        <f>вспомогательная!L94</f>
        <v>9690710.7599999998</v>
      </c>
      <c r="M64" s="163">
        <f>вспомогательная!M94</f>
        <v>10081365.76</v>
      </c>
      <c r="N64" s="190"/>
    </row>
    <row r="65" spans="1:67" hidden="1">
      <c r="B65" s="186"/>
      <c r="C65" s="187"/>
      <c r="D65" s="187"/>
      <c r="E65" s="187"/>
      <c r="F65" s="187"/>
      <c r="G65" s="188"/>
      <c r="H65" s="231"/>
      <c r="I65" s="232"/>
      <c r="J65" s="223"/>
      <c r="K65" s="163"/>
      <c r="L65" s="163"/>
      <c r="M65" s="163"/>
      <c r="N65" s="190"/>
    </row>
    <row r="66" spans="1:67" hidden="1">
      <c r="B66" s="186"/>
      <c r="C66" s="187"/>
      <c r="D66" s="187"/>
      <c r="E66" s="187"/>
      <c r="F66" s="187"/>
      <c r="G66" s="188"/>
      <c r="H66" s="231"/>
      <c r="I66" s="232"/>
      <c r="J66" s="209"/>
      <c r="K66" s="193"/>
      <c r="L66" s="193"/>
      <c r="M66" s="193"/>
      <c r="N66" s="190"/>
    </row>
    <row r="67" spans="1:67" hidden="1">
      <c r="B67" s="410"/>
      <c r="C67" s="411"/>
      <c r="D67" s="411"/>
      <c r="E67" s="411"/>
      <c r="F67" s="411"/>
      <c r="G67" s="412"/>
      <c r="H67" s="231"/>
      <c r="I67" s="232"/>
      <c r="J67" s="223"/>
      <c r="K67" s="163"/>
      <c r="L67" s="163"/>
      <c r="M67" s="163"/>
      <c r="N67" s="190"/>
    </row>
    <row r="68" spans="1:67" hidden="1">
      <c r="B68" s="410"/>
      <c r="C68" s="411"/>
      <c r="D68" s="411"/>
      <c r="E68" s="411"/>
      <c r="F68" s="411"/>
      <c r="G68" s="412"/>
      <c r="H68" s="231"/>
      <c r="I68" s="232"/>
      <c r="J68" s="209"/>
      <c r="K68" s="193"/>
      <c r="L68" s="193"/>
      <c r="M68" s="193"/>
      <c r="N68" s="190"/>
    </row>
    <row r="69" spans="1:67" hidden="1">
      <c r="B69" s="172"/>
      <c r="C69" s="173"/>
      <c r="D69" s="173"/>
      <c r="E69" s="173"/>
      <c r="F69" s="173"/>
      <c r="G69" s="173"/>
      <c r="H69" s="231"/>
      <c r="I69" s="232"/>
      <c r="J69" s="223"/>
      <c r="K69" s="163"/>
      <c r="L69" s="163"/>
      <c r="M69" s="163"/>
      <c r="N69" s="190"/>
    </row>
    <row r="70" spans="1:67" hidden="1">
      <c r="B70" s="172"/>
      <c r="C70" s="173"/>
      <c r="D70" s="173"/>
      <c r="E70" s="173"/>
      <c r="F70" s="173"/>
      <c r="G70" s="173"/>
      <c r="H70" s="231"/>
      <c r="I70" s="232"/>
      <c r="J70" s="209"/>
      <c r="K70" s="193"/>
      <c r="L70" s="193"/>
      <c r="M70" s="193"/>
      <c r="N70" s="190"/>
    </row>
    <row r="71" spans="1:67" hidden="1">
      <c r="B71" s="172"/>
      <c r="C71" s="173"/>
      <c r="D71" s="173"/>
      <c r="E71" s="173"/>
      <c r="F71" s="173"/>
      <c r="G71" s="173"/>
      <c r="H71" s="231"/>
      <c r="I71" s="232"/>
      <c r="J71" s="223"/>
      <c r="K71" s="163"/>
      <c r="L71" s="163"/>
      <c r="M71" s="163"/>
      <c r="N71" s="190"/>
    </row>
    <row r="72" spans="1:67" hidden="1">
      <c r="B72" s="172"/>
      <c r="C72" s="173"/>
      <c r="D72" s="173"/>
      <c r="E72" s="173"/>
      <c r="F72" s="173"/>
      <c r="G72" s="173"/>
      <c r="H72" s="231"/>
      <c r="I72" s="232"/>
      <c r="J72" s="209"/>
      <c r="K72" s="193"/>
      <c r="L72" s="193"/>
      <c r="M72" s="193"/>
      <c r="N72" s="190"/>
    </row>
    <row r="73" spans="1:67" s="226" customFormat="1" hidden="1">
      <c r="B73" s="418" t="s">
        <v>70</v>
      </c>
      <c r="C73" s="419"/>
      <c r="D73" s="419"/>
      <c r="E73" s="419"/>
      <c r="F73" s="419"/>
      <c r="G73" s="419"/>
      <c r="H73" s="229" t="s">
        <v>71</v>
      </c>
      <c r="I73" s="78" t="s">
        <v>67</v>
      </c>
      <c r="J73" s="229"/>
      <c r="K73" s="77">
        <f>K74+K75+K76</f>
        <v>0</v>
      </c>
      <c r="L73" s="77">
        <f t="shared" ref="L73:M73" si="11">L74+L75+L76</f>
        <v>0</v>
      </c>
      <c r="M73" s="77">
        <f t="shared" si="11"/>
        <v>0</v>
      </c>
      <c r="N73" s="78" t="s">
        <v>21</v>
      </c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</row>
    <row r="74" spans="1:67" hidden="1">
      <c r="B74" s="410"/>
      <c r="C74" s="411"/>
      <c r="D74" s="411"/>
      <c r="E74" s="411"/>
      <c r="F74" s="411"/>
      <c r="G74" s="412"/>
      <c r="H74" s="233"/>
      <c r="I74" s="234"/>
      <c r="J74" s="209"/>
      <c r="K74" s="193"/>
      <c r="L74" s="193"/>
      <c r="M74" s="193"/>
      <c r="N74" s="190"/>
    </row>
    <row r="75" spans="1:67" hidden="1">
      <c r="B75" s="410"/>
      <c r="C75" s="411"/>
      <c r="D75" s="411"/>
      <c r="E75" s="411"/>
      <c r="F75" s="411"/>
      <c r="G75" s="412"/>
      <c r="H75" s="231"/>
      <c r="I75" s="232"/>
      <c r="J75" s="209"/>
      <c r="K75" s="193"/>
      <c r="L75" s="193"/>
      <c r="M75" s="193"/>
      <c r="N75" s="190"/>
    </row>
    <row r="76" spans="1:67" hidden="1">
      <c r="B76" s="410"/>
      <c r="C76" s="411"/>
      <c r="D76" s="411"/>
      <c r="E76" s="411"/>
      <c r="F76" s="411"/>
      <c r="G76" s="412"/>
      <c r="H76" s="231"/>
      <c r="I76" s="232"/>
      <c r="J76" s="209"/>
      <c r="K76" s="193"/>
      <c r="L76" s="193"/>
      <c r="M76" s="193"/>
      <c r="N76" s="190"/>
    </row>
    <row r="77" spans="1:67" s="222" customFormat="1">
      <c r="A77" s="199"/>
      <c r="B77" s="414" t="s">
        <v>72</v>
      </c>
      <c r="C77" s="415"/>
      <c r="D77" s="415"/>
      <c r="E77" s="415"/>
      <c r="F77" s="415"/>
      <c r="G77" s="415"/>
      <c r="H77" s="219" t="s">
        <v>73</v>
      </c>
      <c r="I77" s="220" t="s">
        <v>74</v>
      </c>
      <c r="J77" s="221"/>
      <c r="K77" s="45">
        <f>K78+K80+K82</f>
        <v>637422</v>
      </c>
      <c r="L77" s="45">
        <f>L78+L80+L82</f>
        <v>637422</v>
      </c>
      <c r="M77" s="45">
        <f>M78+M80+M82</f>
        <v>637422</v>
      </c>
      <c r="N77" s="55" t="s">
        <v>21</v>
      </c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</row>
    <row r="78" spans="1:67" s="226" customFormat="1">
      <c r="B78" s="408" t="s">
        <v>75</v>
      </c>
      <c r="C78" s="409"/>
      <c r="D78" s="409"/>
      <c r="E78" s="409"/>
      <c r="F78" s="409"/>
      <c r="G78" s="409"/>
      <c r="H78" s="227" t="s">
        <v>76</v>
      </c>
      <c r="I78" s="228" t="s">
        <v>77</v>
      </c>
      <c r="J78" s="229"/>
      <c r="K78" s="77">
        <f>K79</f>
        <v>637422</v>
      </c>
      <c r="L78" s="77">
        <f t="shared" ref="L78:M78" si="12">L79</f>
        <v>637422</v>
      </c>
      <c r="M78" s="77">
        <f t="shared" si="12"/>
        <v>637422</v>
      </c>
      <c r="N78" s="78" t="s">
        <v>21</v>
      </c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</row>
    <row r="79" spans="1:67">
      <c r="B79" s="410"/>
      <c r="C79" s="411"/>
      <c r="D79" s="411"/>
      <c r="E79" s="411"/>
      <c r="F79" s="411"/>
      <c r="G79" s="412"/>
      <c r="H79" s="195"/>
      <c r="I79" s="171"/>
      <c r="J79" s="223" t="s">
        <v>352</v>
      </c>
      <c r="K79" s="163">
        <f>вспомогательная!K118</f>
        <v>637422</v>
      </c>
      <c r="L79" s="163">
        <f>вспомогательная!L118</f>
        <v>637422</v>
      </c>
      <c r="M79" s="163">
        <f>вспомогательная!M118</f>
        <v>637422</v>
      </c>
      <c r="N79" s="190"/>
    </row>
    <row r="80" spans="1:67" s="226" customFormat="1" ht="25.5" hidden="1" customHeight="1">
      <c r="B80" s="408" t="s">
        <v>78</v>
      </c>
      <c r="C80" s="409"/>
      <c r="D80" s="409"/>
      <c r="E80" s="409"/>
      <c r="F80" s="409"/>
      <c r="G80" s="409"/>
      <c r="H80" s="227" t="s">
        <v>79</v>
      </c>
      <c r="I80" s="228" t="s">
        <v>80</v>
      </c>
      <c r="J80" s="229"/>
      <c r="K80" s="77">
        <f>K81</f>
        <v>0</v>
      </c>
      <c r="L80" s="77">
        <f t="shared" ref="L80:M80" si="13">L81</f>
        <v>0</v>
      </c>
      <c r="M80" s="77">
        <f t="shared" si="13"/>
        <v>0</v>
      </c>
      <c r="N80" s="78" t="s">
        <v>21</v>
      </c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</row>
    <row r="81" spans="1:71" hidden="1">
      <c r="B81" s="410"/>
      <c r="C81" s="411"/>
      <c r="D81" s="411"/>
      <c r="E81" s="411"/>
      <c r="F81" s="411"/>
      <c r="G81" s="412"/>
      <c r="H81" s="195"/>
      <c r="I81" s="171"/>
      <c r="J81" s="209"/>
      <c r="K81" s="193"/>
      <c r="L81" s="193"/>
      <c r="M81" s="193"/>
      <c r="N81" s="190"/>
    </row>
    <row r="82" spans="1:71" s="226" customFormat="1" ht="21.75" hidden="1" customHeight="1">
      <c r="B82" s="408" t="s">
        <v>81</v>
      </c>
      <c r="C82" s="409"/>
      <c r="D82" s="409"/>
      <c r="E82" s="409"/>
      <c r="F82" s="409"/>
      <c r="G82" s="409"/>
      <c r="H82" s="227" t="s">
        <v>82</v>
      </c>
      <c r="I82" s="228" t="s">
        <v>83</v>
      </c>
      <c r="J82" s="229"/>
      <c r="K82" s="77">
        <f>K83</f>
        <v>0</v>
      </c>
      <c r="L82" s="77">
        <f t="shared" ref="L82:M82" si="14">L83</f>
        <v>0</v>
      </c>
      <c r="M82" s="77">
        <f t="shared" si="14"/>
        <v>0</v>
      </c>
      <c r="N82" s="78" t="s">
        <v>21</v>
      </c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</row>
    <row r="83" spans="1:71" hidden="1">
      <c r="B83" s="410"/>
      <c r="C83" s="411"/>
      <c r="D83" s="411"/>
      <c r="E83" s="411"/>
      <c r="F83" s="411"/>
      <c r="G83" s="412"/>
      <c r="H83" s="195"/>
      <c r="I83" s="171"/>
      <c r="J83" s="209"/>
      <c r="K83" s="193"/>
      <c r="L83" s="193"/>
      <c r="M83" s="193"/>
      <c r="N83" s="190"/>
    </row>
    <row r="84" spans="1:71" s="222" customFormat="1" hidden="1">
      <c r="A84" s="199"/>
      <c r="B84" s="414" t="s">
        <v>84</v>
      </c>
      <c r="C84" s="415"/>
      <c r="D84" s="415"/>
      <c r="E84" s="415"/>
      <c r="F84" s="415"/>
      <c r="G84" s="415"/>
      <c r="H84" s="219" t="s">
        <v>85</v>
      </c>
      <c r="I84" s="220" t="s">
        <v>21</v>
      </c>
      <c r="J84" s="221"/>
      <c r="K84" s="45">
        <f>K85</f>
        <v>0</v>
      </c>
      <c r="L84" s="45">
        <f t="shared" ref="L84:M84" si="15">L85</f>
        <v>0</v>
      </c>
      <c r="M84" s="45">
        <f t="shared" si="15"/>
        <v>0</v>
      </c>
      <c r="N84" s="55" t="s">
        <v>21</v>
      </c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199"/>
      <c r="BI84" s="199"/>
      <c r="BJ84" s="199"/>
      <c r="BK84" s="199"/>
      <c r="BL84" s="199"/>
      <c r="BM84" s="199"/>
      <c r="BN84" s="199"/>
      <c r="BO84" s="199"/>
    </row>
    <row r="85" spans="1:71" ht="40.5" hidden="1" customHeight="1">
      <c r="B85" s="416" t="s">
        <v>86</v>
      </c>
      <c r="C85" s="417"/>
      <c r="D85" s="417"/>
      <c r="E85" s="417"/>
      <c r="F85" s="417"/>
      <c r="G85" s="417"/>
      <c r="H85" s="195" t="s">
        <v>87</v>
      </c>
      <c r="I85" s="171" t="s">
        <v>88</v>
      </c>
      <c r="J85" s="209"/>
      <c r="K85" s="193"/>
      <c r="L85" s="193"/>
      <c r="M85" s="193"/>
      <c r="N85" s="190" t="s">
        <v>21</v>
      </c>
    </row>
    <row r="86" spans="1:71" s="222" customFormat="1">
      <c r="A86" s="199"/>
      <c r="B86" s="414" t="s">
        <v>89</v>
      </c>
      <c r="C86" s="415"/>
      <c r="D86" s="415"/>
      <c r="E86" s="415"/>
      <c r="F86" s="415"/>
      <c r="G86" s="415"/>
      <c r="H86" s="219" t="s">
        <v>90</v>
      </c>
      <c r="I86" s="220" t="s">
        <v>21</v>
      </c>
      <c r="J86" s="221"/>
      <c r="K86" s="45">
        <f>K87+K89+K91+K93</f>
        <v>14882484.360000001</v>
      </c>
      <c r="L86" s="45">
        <f>L87+L89+L91+L93</f>
        <v>12996422.359999999</v>
      </c>
      <c r="M86" s="45">
        <f>M87+M89+M91+M93</f>
        <v>13218749.359999999</v>
      </c>
      <c r="N86" s="55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</row>
    <row r="87" spans="1:71" s="226" customFormat="1" hidden="1">
      <c r="B87" s="408" t="s">
        <v>91</v>
      </c>
      <c r="C87" s="409"/>
      <c r="D87" s="409"/>
      <c r="E87" s="409"/>
      <c r="F87" s="409"/>
      <c r="G87" s="409"/>
      <c r="H87" s="227" t="s">
        <v>92</v>
      </c>
      <c r="I87" s="228" t="s">
        <v>93</v>
      </c>
      <c r="J87" s="229"/>
      <c r="K87" s="77">
        <f>K88</f>
        <v>0</v>
      </c>
      <c r="L87" s="77">
        <f t="shared" ref="L87:M87" si="16">L88</f>
        <v>0</v>
      </c>
      <c r="M87" s="77">
        <f t="shared" si="16"/>
        <v>0</v>
      </c>
      <c r="N87" s="78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</row>
    <row r="88" spans="1:71" hidden="1">
      <c r="B88" s="410"/>
      <c r="C88" s="411"/>
      <c r="D88" s="411"/>
      <c r="E88" s="411"/>
      <c r="F88" s="411"/>
      <c r="G88" s="412"/>
      <c r="H88" s="195"/>
      <c r="I88" s="171"/>
      <c r="J88" s="209"/>
      <c r="K88" s="193"/>
      <c r="L88" s="193"/>
      <c r="M88" s="193"/>
      <c r="N88" s="190"/>
    </row>
    <row r="89" spans="1:71" s="226" customFormat="1" ht="28.5" hidden="1" customHeight="1">
      <c r="B89" s="408" t="s">
        <v>94</v>
      </c>
      <c r="C89" s="409"/>
      <c r="D89" s="409"/>
      <c r="E89" s="409"/>
      <c r="F89" s="409"/>
      <c r="G89" s="409"/>
      <c r="H89" s="229" t="s">
        <v>95</v>
      </c>
      <c r="I89" s="78" t="s">
        <v>96</v>
      </c>
      <c r="J89" s="229"/>
      <c r="K89" s="77">
        <f>K90</f>
        <v>0</v>
      </c>
      <c r="L89" s="77">
        <f t="shared" ref="L89:M89" si="17">L90</f>
        <v>0</v>
      </c>
      <c r="M89" s="77">
        <f t="shared" si="17"/>
        <v>0</v>
      </c>
      <c r="N89" s="78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</row>
    <row r="90" spans="1:71" ht="15.75" hidden="1" customHeight="1">
      <c r="B90" s="410"/>
      <c r="C90" s="411"/>
      <c r="D90" s="411"/>
      <c r="E90" s="411"/>
      <c r="F90" s="411"/>
      <c r="G90" s="412"/>
      <c r="H90" s="235"/>
      <c r="I90" s="236"/>
      <c r="J90" s="209"/>
      <c r="K90" s="193"/>
      <c r="L90" s="193"/>
      <c r="M90" s="193"/>
      <c r="N90" s="190"/>
    </row>
    <row r="91" spans="1:71" s="226" customFormat="1" ht="24" customHeight="1">
      <c r="B91" s="408" t="s">
        <v>97</v>
      </c>
      <c r="C91" s="409"/>
      <c r="D91" s="409"/>
      <c r="E91" s="409"/>
      <c r="F91" s="409"/>
      <c r="G91" s="409"/>
      <c r="H91" s="237" t="s">
        <v>98</v>
      </c>
      <c r="I91" s="238" t="s">
        <v>99</v>
      </c>
      <c r="J91" s="229"/>
      <c r="K91" s="77">
        <f>K92</f>
        <v>280000</v>
      </c>
      <c r="L91" s="77">
        <f t="shared" ref="L91:M91" si="18">L92</f>
        <v>0</v>
      </c>
      <c r="M91" s="77">
        <f t="shared" si="18"/>
        <v>0</v>
      </c>
      <c r="N91" s="78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</row>
    <row r="92" spans="1:71">
      <c r="B92" s="410"/>
      <c r="C92" s="411"/>
      <c r="D92" s="411"/>
      <c r="E92" s="411"/>
      <c r="F92" s="411"/>
      <c r="G92" s="412"/>
      <c r="H92" s="235"/>
      <c r="I92" s="236"/>
      <c r="J92" s="223" t="s">
        <v>322</v>
      </c>
      <c r="K92" s="163">
        <f>вспомогательная!K135</f>
        <v>280000</v>
      </c>
      <c r="L92" s="163"/>
      <c r="M92" s="163"/>
      <c r="N92" s="190"/>
    </row>
    <row r="93" spans="1:71" s="226" customFormat="1">
      <c r="B93" s="404" t="s">
        <v>100</v>
      </c>
      <c r="C93" s="405"/>
      <c r="D93" s="405"/>
      <c r="E93" s="405"/>
      <c r="F93" s="405"/>
      <c r="G93" s="405"/>
      <c r="H93" s="237" t="s">
        <v>101</v>
      </c>
      <c r="I93" s="238" t="s">
        <v>102</v>
      </c>
      <c r="J93" s="229"/>
      <c r="K93" s="77">
        <f>SUM(K94:K104)</f>
        <v>14602484.360000001</v>
      </c>
      <c r="L93" s="77">
        <f t="shared" ref="L93:N93" si="19">SUM(L94:L104)</f>
        <v>12996422.359999999</v>
      </c>
      <c r="M93" s="77">
        <f t="shared" si="19"/>
        <v>13218749.359999999</v>
      </c>
      <c r="N93" s="230">
        <f t="shared" si="19"/>
        <v>0</v>
      </c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</row>
    <row r="94" spans="1:71" s="199" customFormat="1">
      <c r="B94" s="406" t="s">
        <v>369</v>
      </c>
      <c r="C94" s="407"/>
      <c r="D94" s="407"/>
      <c r="E94" s="407"/>
      <c r="F94" s="407"/>
      <c r="G94" s="407"/>
      <c r="H94" s="231"/>
      <c r="I94" s="232"/>
      <c r="J94" s="223" t="s">
        <v>318</v>
      </c>
      <c r="K94" s="193">
        <f>вспомогательная!K144</f>
        <v>58697</v>
      </c>
      <c r="L94" s="193">
        <f>вспомогательная!L144</f>
        <v>58697</v>
      </c>
      <c r="M94" s="193">
        <f>вспомогательная!M144</f>
        <v>58697</v>
      </c>
      <c r="N94" s="190"/>
      <c r="BP94" s="200"/>
      <c r="BQ94" s="200"/>
      <c r="BR94" s="200"/>
      <c r="BS94" s="200"/>
    </row>
    <row r="95" spans="1:71" s="239" customFormat="1" hidden="1">
      <c r="A95" s="199"/>
      <c r="B95" s="413"/>
      <c r="C95" s="398"/>
      <c r="D95" s="398"/>
      <c r="E95" s="398"/>
      <c r="F95" s="398"/>
      <c r="G95" s="399"/>
      <c r="H95" s="231"/>
      <c r="I95" s="232"/>
      <c r="J95" s="223" t="s">
        <v>319</v>
      </c>
      <c r="K95" s="193">
        <f>вспомогательная!K162</f>
        <v>0</v>
      </c>
      <c r="L95" s="193">
        <f>вспомогательная!L162</f>
        <v>0</v>
      </c>
      <c r="M95" s="193">
        <f>вспомогательная!M162</f>
        <v>0</v>
      </c>
      <c r="N95" s="190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200"/>
      <c r="BQ95" s="200"/>
      <c r="BR95" s="200"/>
      <c r="BS95" s="200"/>
    </row>
    <row r="96" spans="1:71" s="239" customFormat="1">
      <c r="A96" s="199"/>
      <c r="B96" s="413" t="s">
        <v>370</v>
      </c>
      <c r="C96" s="398"/>
      <c r="D96" s="398"/>
      <c r="E96" s="398"/>
      <c r="F96" s="398"/>
      <c r="G96" s="399"/>
      <c r="H96" s="231"/>
      <c r="I96" s="232"/>
      <c r="J96" s="223" t="s">
        <v>320</v>
      </c>
      <c r="K96" s="181">
        <f>вспомогательная!K166</f>
        <v>3508926</v>
      </c>
      <c r="L96" s="181">
        <f>вспомогательная!L166</f>
        <v>3550894</v>
      </c>
      <c r="M96" s="181">
        <f>вспомогательная!M166</f>
        <v>3773221</v>
      </c>
      <c r="N96" s="190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200"/>
      <c r="BQ96" s="200"/>
      <c r="BR96" s="200"/>
      <c r="BS96" s="200"/>
    </row>
    <row r="97" spans="1:71" s="239" customFormat="1">
      <c r="A97" s="199"/>
      <c r="B97" s="194" t="s">
        <v>371</v>
      </c>
      <c r="C97" s="184"/>
      <c r="D97" s="184"/>
      <c r="E97" s="184"/>
      <c r="F97" s="184"/>
      <c r="G97" s="185"/>
      <c r="H97" s="231"/>
      <c r="I97" s="232"/>
      <c r="J97" s="223" t="s">
        <v>321</v>
      </c>
      <c r="K97" s="193">
        <f>вспомогательная!K184</f>
        <v>1628412.3</v>
      </c>
      <c r="L97" s="193">
        <f>вспомогательная!L184</f>
        <v>295897</v>
      </c>
      <c r="M97" s="193">
        <f>вспомогательная!M184</f>
        <v>295897</v>
      </c>
      <c r="N97" s="190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199"/>
      <c r="BB97" s="199"/>
      <c r="BC97" s="199"/>
      <c r="BD97" s="199"/>
      <c r="BE97" s="199"/>
      <c r="BF97" s="199"/>
      <c r="BG97" s="199"/>
      <c r="BH97" s="199"/>
      <c r="BI97" s="199"/>
      <c r="BJ97" s="199"/>
      <c r="BK97" s="199"/>
      <c r="BL97" s="199"/>
      <c r="BM97" s="199"/>
      <c r="BN97" s="199"/>
      <c r="BO97" s="199"/>
      <c r="BP97" s="200"/>
      <c r="BQ97" s="200"/>
      <c r="BR97" s="200"/>
      <c r="BS97" s="200"/>
    </row>
    <row r="98" spans="1:71" s="239" customFormat="1">
      <c r="A98" s="199"/>
      <c r="B98" s="413" t="s">
        <v>372</v>
      </c>
      <c r="C98" s="398"/>
      <c r="D98" s="398"/>
      <c r="E98" s="398"/>
      <c r="F98" s="398"/>
      <c r="G98" s="399"/>
      <c r="H98" s="231"/>
      <c r="I98" s="232"/>
      <c r="J98" s="223" t="s">
        <v>322</v>
      </c>
      <c r="K98" s="193">
        <f>вспомогательная!K202</f>
        <v>958201</v>
      </c>
      <c r="L98" s="193">
        <f>вспомогательная!L202</f>
        <v>913165</v>
      </c>
      <c r="M98" s="193">
        <f>вспомогательная!M202</f>
        <v>913165</v>
      </c>
      <c r="N98" s="190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200"/>
      <c r="BQ98" s="200"/>
      <c r="BR98" s="200"/>
      <c r="BS98" s="200"/>
    </row>
    <row r="99" spans="1:71" s="239" customFormat="1">
      <c r="A99" s="199"/>
      <c r="B99" s="413" t="s">
        <v>373</v>
      </c>
      <c r="C99" s="398"/>
      <c r="D99" s="398"/>
      <c r="E99" s="398"/>
      <c r="F99" s="398"/>
      <c r="G99" s="399"/>
      <c r="H99" s="231"/>
      <c r="I99" s="232"/>
      <c r="J99" s="223">
        <v>228</v>
      </c>
      <c r="K99" s="193">
        <f>вспомогательная!K220</f>
        <v>360000</v>
      </c>
      <c r="L99" s="193">
        <f>вспомогательная!L220</f>
        <v>0</v>
      </c>
      <c r="M99" s="193">
        <f>вспомогательная!M220</f>
        <v>0</v>
      </c>
      <c r="N99" s="190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199"/>
      <c r="AW99" s="199"/>
      <c r="AX99" s="199"/>
      <c r="AY99" s="199"/>
      <c r="AZ99" s="199"/>
      <c r="BA99" s="199"/>
      <c r="BB99" s="199"/>
      <c r="BC99" s="199"/>
      <c r="BD99" s="199"/>
      <c r="BE99" s="199"/>
      <c r="BF99" s="199"/>
      <c r="BG99" s="199"/>
      <c r="BH99" s="199"/>
      <c r="BI99" s="199"/>
      <c r="BJ99" s="199"/>
      <c r="BK99" s="199"/>
      <c r="BL99" s="199"/>
      <c r="BM99" s="199"/>
      <c r="BN99" s="199"/>
      <c r="BO99" s="199"/>
      <c r="BP99" s="200"/>
      <c r="BQ99" s="200"/>
      <c r="BR99" s="200"/>
      <c r="BS99" s="200"/>
    </row>
    <row r="100" spans="1:71" s="239" customFormat="1" hidden="1">
      <c r="A100" s="199"/>
      <c r="B100" s="413" t="s">
        <v>374</v>
      </c>
      <c r="C100" s="398"/>
      <c r="D100" s="398"/>
      <c r="E100" s="398"/>
      <c r="F100" s="398"/>
      <c r="G100" s="399"/>
      <c r="H100" s="231"/>
      <c r="I100" s="232"/>
      <c r="J100" s="223" t="s">
        <v>323</v>
      </c>
      <c r="K100" s="193">
        <f>вспомогательная!K223</f>
        <v>0</v>
      </c>
      <c r="L100" s="193">
        <f>вспомогательная!L223</f>
        <v>0</v>
      </c>
      <c r="M100" s="193">
        <f>вспомогательная!M223</f>
        <v>0</v>
      </c>
      <c r="N100" s="190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199"/>
      <c r="AU100" s="199"/>
      <c r="AV100" s="199"/>
      <c r="AW100" s="199"/>
      <c r="AX100" s="199"/>
      <c r="AY100" s="199"/>
      <c r="AZ100" s="199"/>
      <c r="BA100" s="199"/>
      <c r="BB100" s="199"/>
      <c r="BC100" s="199"/>
      <c r="BD100" s="199"/>
      <c r="BE100" s="199"/>
      <c r="BF100" s="199"/>
      <c r="BG100" s="199"/>
      <c r="BH100" s="199"/>
      <c r="BI100" s="199"/>
      <c r="BJ100" s="199"/>
      <c r="BK100" s="199"/>
      <c r="BL100" s="199"/>
      <c r="BM100" s="199"/>
      <c r="BN100" s="199"/>
      <c r="BO100" s="199"/>
      <c r="BP100" s="200"/>
      <c r="BQ100" s="200"/>
      <c r="BR100" s="200"/>
      <c r="BS100" s="200"/>
    </row>
    <row r="101" spans="1:71" s="239" customFormat="1">
      <c r="A101" s="199"/>
      <c r="B101" s="413"/>
      <c r="C101" s="398"/>
      <c r="D101" s="398"/>
      <c r="E101" s="398"/>
      <c r="F101" s="398"/>
      <c r="G101" s="399"/>
      <c r="H101" s="231"/>
      <c r="I101" s="232"/>
      <c r="J101" s="223" t="s">
        <v>326</v>
      </c>
      <c r="K101" s="193">
        <f>вспомогательная!K242</f>
        <v>7637439</v>
      </c>
      <c r="L101" s="193">
        <f>вспомогательная!L242</f>
        <v>7637439</v>
      </c>
      <c r="M101" s="193">
        <f>вспомогательная!M242</f>
        <v>7637439</v>
      </c>
      <c r="N101" s="190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199"/>
      <c r="AW101" s="199"/>
      <c r="AX101" s="199"/>
      <c r="AY101" s="199"/>
      <c r="AZ101" s="199"/>
      <c r="BA101" s="199"/>
      <c r="BB101" s="199"/>
      <c r="BC101" s="199"/>
      <c r="BD101" s="199"/>
      <c r="BE101" s="199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200"/>
      <c r="BQ101" s="200"/>
      <c r="BR101" s="200"/>
      <c r="BS101" s="200"/>
    </row>
    <row r="102" spans="1:71" s="239" customFormat="1">
      <c r="A102" s="199"/>
      <c r="B102" s="413" t="s">
        <v>375</v>
      </c>
      <c r="C102" s="398"/>
      <c r="D102" s="398"/>
      <c r="E102" s="398"/>
      <c r="F102" s="398"/>
      <c r="G102" s="399"/>
      <c r="H102" s="231"/>
      <c r="I102" s="232"/>
      <c r="J102" s="223" t="s">
        <v>325</v>
      </c>
      <c r="K102" s="193">
        <f>вспомогательная!K246</f>
        <v>50000</v>
      </c>
      <c r="L102" s="193">
        <f>вспомогательная!L246</f>
        <v>50000</v>
      </c>
      <c r="M102" s="193">
        <f>вспомогательная!M246</f>
        <v>50000</v>
      </c>
      <c r="N102" s="190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  <c r="BI102" s="199"/>
      <c r="BJ102" s="199"/>
      <c r="BK102" s="199"/>
      <c r="BL102" s="199"/>
      <c r="BM102" s="199"/>
      <c r="BN102" s="199"/>
      <c r="BO102" s="199"/>
      <c r="BP102" s="200"/>
      <c r="BQ102" s="200"/>
      <c r="BR102" s="200"/>
      <c r="BS102" s="200"/>
    </row>
    <row r="103" spans="1:71" s="239" customFormat="1">
      <c r="A103" s="199"/>
      <c r="B103" s="413" t="s">
        <v>376</v>
      </c>
      <c r="C103" s="398"/>
      <c r="D103" s="398"/>
      <c r="E103" s="398"/>
      <c r="F103" s="398"/>
      <c r="G103" s="399"/>
      <c r="H103" s="231"/>
      <c r="I103" s="232"/>
      <c r="J103" s="223">
        <v>345</v>
      </c>
      <c r="K103" s="193">
        <f>вспомогательная!K264</f>
        <v>70000</v>
      </c>
      <c r="L103" s="193">
        <f>вспомогательная!L264</f>
        <v>70000</v>
      </c>
      <c r="M103" s="193">
        <f>вспомогательная!M264</f>
        <v>70000</v>
      </c>
      <c r="N103" s="190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199"/>
      <c r="AQ103" s="199"/>
      <c r="AR103" s="199"/>
      <c r="AS103" s="199"/>
      <c r="AT103" s="199"/>
      <c r="AU103" s="199"/>
      <c r="AV103" s="199"/>
      <c r="AW103" s="199"/>
      <c r="AX103" s="199"/>
      <c r="AY103" s="199"/>
      <c r="AZ103" s="199"/>
      <c r="BA103" s="199"/>
      <c r="BB103" s="199"/>
      <c r="BC103" s="199"/>
      <c r="BD103" s="199"/>
      <c r="BE103" s="199"/>
      <c r="BF103" s="199"/>
      <c r="BG103" s="199"/>
      <c r="BH103" s="199"/>
      <c r="BI103" s="199"/>
      <c r="BJ103" s="199"/>
      <c r="BK103" s="199"/>
      <c r="BL103" s="199"/>
      <c r="BM103" s="199"/>
      <c r="BN103" s="199"/>
      <c r="BO103" s="199"/>
      <c r="BP103" s="200"/>
      <c r="BQ103" s="200"/>
      <c r="BR103" s="200"/>
      <c r="BS103" s="200"/>
    </row>
    <row r="104" spans="1:71" s="239" customFormat="1">
      <c r="A104" s="199"/>
      <c r="B104" s="413" t="s">
        <v>377</v>
      </c>
      <c r="C104" s="398"/>
      <c r="D104" s="398"/>
      <c r="E104" s="398"/>
      <c r="F104" s="398"/>
      <c r="G104" s="399"/>
      <c r="H104" s="231"/>
      <c r="I104" s="232"/>
      <c r="J104" s="223">
        <v>346</v>
      </c>
      <c r="K104" s="193">
        <f>вспомогательная!K282</f>
        <v>330809.06</v>
      </c>
      <c r="L104" s="193">
        <f>вспомогательная!L282</f>
        <v>420330.36</v>
      </c>
      <c r="M104" s="193">
        <f>вспомогательная!M282</f>
        <v>420330.36</v>
      </c>
      <c r="N104" s="190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  <c r="BI104" s="199"/>
      <c r="BJ104" s="199"/>
      <c r="BK104" s="199"/>
      <c r="BL104" s="199"/>
      <c r="BM104" s="199"/>
      <c r="BN104" s="199"/>
      <c r="BO104" s="199"/>
      <c r="BP104" s="200"/>
      <c r="BQ104" s="200"/>
      <c r="BR104" s="200"/>
      <c r="BS104" s="200"/>
    </row>
    <row r="105" spans="1:71" hidden="1">
      <c r="B105" s="413"/>
      <c r="C105" s="398"/>
      <c r="D105" s="398"/>
      <c r="E105" s="398"/>
      <c r="F105" s="398"/>
      <c r="G105" s="399"/>
      <c r="H105" s="231"/>
      <c r="I105" s="232"/>
      <c r="J105" s="209"/>
      <c r="K105" s="193"/>
      <c r="L105" s="193"/>
      <c r="M105" s="193"/>
      <c r="N105" s="190"/>
    </row>
    <row r="106" spans="1:71" s="222" customFormat="1">
      <c r="B106" s="394" t="s">
        <v>330</v>
      </c>
      <c r="C106" s="395"/>
      <c r="D106" s="395"/>
      <c r="E106" s="395"/>
      <c r="F106" s="395"/>
      <c r="G106" s="396"/>
      <c r="H106" s="240" t="s">
        <v>333</v>
      </c>
      <c r="I106" s="241" t="s">
        <v>334</v>
      </c>
      <c r="J106" s="221"/>
      <c r="K106" s="45">
        <f>K108</f>
        <v>34138</v>
      </c>
      <c r="L106" s="45">
        <f t="shared" ref="L106:M106" si="20">L108</f>
        <v>0</v>
      </c>
      <c r="M106" s="45">
        <f t="shared" si="20"/>
        <v>0</v>
      </c>
      <c r="N106" s="55"/>
    </row>
    <row r="107" spans="1:71" ht="24.75" hidden="1" customHeight="1">
      <c r="B107" s="397" t="s">
        <v>331</v>
      </c>
      <c r="C107" s="398"/>
      <c r="D107" s="398"/>
      <c r="E107" s="398"/>
      <c r="F107" s="398"/>
      <c r="G107" s="399"/>
      <c r="H107" s="231" t="s">
        <v>335</v>
      </c>
      <c r="I107" s="232" t="s">
        <v>337</v>
      </c>
      <c r="J107" s="209"/>
      <c r="K107" s="193"/>
      <c r="L107" s="193"/>
      <c r="M107" s="193"/>
      <c r="N107" s="190"/>
    </row>
    <row r="108" spans="1:71" ht="23.25" customHeight="1">
      <c r="B108" s="397" t="s">
        <v>332</v>
      </c>
      <c r="C108" s="398"/>
      <c r="D108" s="398"/>
      <c r="E108" s="398"/>
      <c r="F108" s="398"/>
      <c r="G108" s="399"/>
      <c r="H108" s="231" t="s">
        <v>336</v>
      </c>
      <c r="I108" s="232" t="s">
        <v>338</v>
      </c>
      <c r="J108" s="223" t="s">
        <v>339</v>
      </c>
      <c r="K108" s="181">
        <f>вспомогательная!K305</f>
        <v>34138</v>
      </c>
      <c r="L108" s="181">
        <f>вспомогательная!L305</f>
        <v>0</v>
      </c>
      <c r="M108" s="181">
        <f>вспомогательная!M305</f>
        <v>0</v>
      </c>
      <c r="N108" s="210"/>
    </row>
    <row r="109" spans="1:71" hidden="1">
      <c r="B109" s="186"/>
      <c r="C109" s="196"/>
      <c r="D109" s="196"/>
      <c r="E109" s="196"/>
      <c r="F109" s="196"/>
      <c r="G109" s="196"/>
      <c r="H109" s="231"/>
      <c r="I109" s="232"/>
      <c r="J109" s="242"/>
      <c r="K109" s="193"/>
      <c r="L109" s="193"/>
      <c r="M109" s="193"/>
      <c r="N109" s="190"/>
    </row>
    <row r="110" spans="1:71" hidden="1">
      <c r="B110" s="186"/>
      <c r="C110" s="196"/>
      <c r="D110" s="196"/>
      <c r="E110" s="196"/>
      <c r="F110" s="196"/>
      <c r="G110" s="196"/>
      <c r="H110" s="231"/>
      <c r="I110" s="232"/>
      <c r="J110" s="209"/>
      <c r="K110" s="193"/>
      <c r="L110" s="193"/>
      <c r="M110" s="193"/>
      <c r="N110" s="190"/>
    </row>
    <row r="111" spans="1:71" s="222" customFormat="1">
      <c r="A111" s="199"/>
      <c r="B111" s="400" t="s">
        <v>104</v>
      </c>
      <c r="C111" s="401"/>
      <c r="D111" s="401"/>
      <c r="E111" s="401"/>
      <c r="F111" s="401"/>
      <c r="G111" s="401"/>
      <c r="H111" s="243" t="s">
        <v>105</v>
      </c>
      <c r="I111" s="244" t="s">
        <v>21</v>
      </c>
      <c r="J111" s="221"/>
      <c r="K111" s="45"/>
      <c r="L111" s="45"/>
      <c r="M111" s="45"/>
      <c r="N111" s="55" t="s">
        <v>21</v>
      </c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  <c r="AO111" s="199"/>
      <c r="AP111" s="199"/>
      <c r="AQ111" s="199"/>
      <c r="AR111" s="199"/>
      <c r="AS111" s="199"/>
      <c r="AT111" s="199"/>
      <c r="AU111" s="199"/>
      <c r="AV111" s="199"/>
      <c r="AW111" s="199"/>
      <c r="AX111" s="199"/>
      <c r="AY111" s="199"/>
      <c r="AZ111" s="199"/>
      <c r="BA111" s="199"/>
      <c r="BB111" s="199"/>
      <c r="BC111" s="199"/>
      <c r="BD111" s="199"/>
      <c r="BE111" s="199"/>
      <c r="BF111" s="199"/>
      <c r="BG111" s="199"/>
      <c r="BH111" s="199"/>
      <c r="BI111" s="199"/>
      <c r="BJ111" s="199"/>
      <c r="BK111" s="199"/>
      <c r="BL111" s="199"/>
      <c r="BM111" s="199"/>
      <c r="BN111" s="199"/>
      <c r="BO111" s="199"/>
    </row>
    <row r="112" spans="1:71" ht="15.75" thickBot="1">
      <c r="B112" s="402" t="s">
        <v>106</v>
      </c>
      <c r="C112" s="403"/>
      <c r="D112" s="403"/>
      <c r="E112" s="403"/>
      <c r="F112" s="403"/>
      <c r="G112" s="403"/>
      <c r="H112" s="245" t="s">
        <v>107</v>
      </c>
      <c r="I112" s="246" t="s">
        <v>108</v>
      </c>
      <c r="J112" s="247"/>
      <c r="K112" s="58"/>
      <c r="L112" s="58"/>
      <c r="M112" s="58"/>
      <c r="N112" s="59" t="s">
        <v>21</v>
      </c>
    </row>
  </sheetData>
  <mergeCells count="134">
    <mergeCell ref="K3:N3"/>
    <mergeCell ref="K4:N4"/>
    <mergeCell ref="K5:N5"/>
    <mergeCell ref="K6:N6"/>
    <mergeCell ref="K7:L7"/>
    <mergeCell ref="M7:N7"/>
    <mergeCell ref="K1:N1"/>
    <mergeCell ref="K2:N2"/>
    <mergeCell ref="N22:N23"/>
    <mergeCell ref="B24:G24"/>
    <mergeCell ref="B25:G25"/>
    <mergeCell ref="B26:G26"/>
    <mergeCell ref="B27:G27"/>
    <mergeCell ref="B28:G28"/>
    <mergeCell ref="K8:N8"/>
    <mergeCell ref="N10:N11"/>
    <mergeCell ref="D12:J12"/>
    <mergeCell ref="D13:J13"/>
    <mergeCell ref="D14:J14"/>
    <mergeCell ref="B21:G23"/>
    <mergeCell ref="H21:H23"/>
    <mergeCell ref="I21:I23"/>
    <mergeCell ref="J21:J23"/>
    <mergeCell ref="K21:N21"/>
    <mergeCell ref="B15:D15"/>
    <mergeCell ref="B16:E16"/>
    <mergeCell ref="F16:I16"/>
    <mergeCell ref="D17:J17"/>
    <mergeCell ref="B34:G34"/>
    <mergeCell ref="B35:G35"/>
    <mergeCell ref="H35:H36"/>
    <mergeCell ref="I35:I36"/>
    <mergeCell ref="J35:J36"/>
    <mergeCell ref="K35:K36"/>
    <mergeCell ref="M29:M30"/>
    <mergeCell ref="N29:N30"/>
    <mergeCell ref="B30:G30"/>
    <mergeCell ref="B31:G31"/>
    <mergeCell ref="B32:G32"/>
    <mergeCell ref="B33:G33"/>
    <mergeCell ref="B29:G29"/>
    <mergeCell ref="H29:H30"/>
    <mergeCell ref="I29:I30"/>
    <mergeCell ref="J29:J30"/>
    <mergeCell ref="K29:K30"/>
    <mergeCell ref="L29:L30"/>
    <mergeCell ref="L35:L36"/>
    <mergeCell ref="M35:M36"/>
    <mergeCell ref="N35:N36"/>
    <mergeCell ref="B36:G36"/>
    <mergeCell ref="B37:G37"/>
    <mergeCell ref="B38:G38"/>
    <mergeCell ref="H38:H39"/>
    <mergeCell ref="I38:I39"/>
    <mergeCell ref="J38:J39"/>
    <mergeCell ref="K38:K39"/>
    <mergeCell ref="L41:L42"/>
    <mergeCell ref="M41:M42"/>
    <mergeCell ref="N41:N42"/>
    <mergeCell ref="B42:G42"/>
    <mergeCell ref="B43:G43"/>
    <mergeCell ref="B44:G44"/>
    <mergeCell ref="L38:L39"/>
    <mergeCell ref="M38:M39"/>
    <mergeCell ref="N38:N39"/>
    <mergeCell ref="B39:G39"/>
    <mergeCell ref="B40:G40"/>
    <mergeCell ref="B41:G41"/>
    <mergeCell ref="H41:H42"/>
    <mergeCell ref="I41:I42"/>
    <mergeCell ref="J41:J42"/>
    <mergeCell ref="K41:K42"/>
    <mergeCell ref="B56:G56"/>
    <mergeCell ref="B50:G50"/>
    <mergeCell ref="B51:G51"/>
    <mergeCell ref="B52:G52"/>
    <mergeCell ref="B53:G53"/>
    <mergeCell ref="B54:G54"/>
    <mergeCell ref="B55:G55"/>
    <mergeCell ref="M45:M46"/>
    <mergeCell ref="N45:N46"/>
    <mergeCell ref="B46:G46"/>
    <mergeCell ref="B47:G47"/>
    <mergeCell ref="B48:G48"/>
    <mergeCell ref="B49:G49"/>
    <mergeCell ref="B45:G45"/>
    <mergeCell ref="H45:H46"/>
    <mergeCell ref="I45:I46"/>
    <mergeCell ref="J45:J46"/>
    <mergeCell ref="K45:K46"/>
    <mergeCell ref="L45:L46"/>
    <mergeCell ref="B73:G73"/>
    <mergeCell ref="B74:G74"/>
    <mergeCell ref="B75:G75"/>
    <mergeCell ref="B76:G76"/>
    <mergeCell ref="B77:G77"/>
    <mergeCell ref="B78:G78"/>
    <mergeCell ref="B67:G67"/>
    <mergeCell ref="B68:G68"/>
    <mergeCell ref="B59:G59"/>
    <mergeCell ref="B62:G62"/>
    <mergeCell ref="B63:G63"/>
    <mergeCell ref="B64:G64"/>
    <mergeCell ref="B83:G83"/>
    <mergeCell ref="B84:G84"/>
    <mergeCell ref="B85:G85"/>
    <mergeCell ref="B86:G86"/>
    <mergeCell ref="B87:G87"/>
    <mergeCell ref="B88:G88"/>
    <mergeCell ref="B79:G79"/>
    <mergeCell ref="B80:G80"/>
    <mergeCell ref="B81:G81"/>
    <mergeCell ref="B82:G82"/>
    <mergeCell ref="B106:G106"/>
    <mergeCell ref="B107:G107"/>
    <mergeCell ref="B108:G108"/>
    <mergeCell ref="B111:G111"/>
    <mergeCell ref="B112:G112"/>
    <mergeCell ref="B93:G93"/>
    <mergeCell ref="B94:G94"/>
    <mergeCell ref="B89:G89"/>
    <mergeCell ref="B90:G90"/>
    <mergeCell ref="B91:G91"/>
    <mergeCell ref="B92:G92"/>
    <mergeCell ref="B95:G95"/>
    <mergeCell ref="B96:G96"/>
    <mergeCell ref="B98:G98"/>
    <mergeCell ref="B99:G99"/>
    <mergeCell ref="B100:G100"/>
    <mergeCell ref="B101:G101"/>
    <mergeCell ref="B102:G102"/>
    <mergeCell ref="B103:G103"/>
    <mergeCell ref="B104:G104"/>
    <mergeCell ref="B105:G105"/>
  </mergeCells>
  <pageMargins left="0" right="0" top="0" bottom="0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65"/>
  <sheetViews>
    <sheetView view="pageBreakPreview" topLeftCell="A44" zoomScaleSheetLayoutView="100" workbookViewId="0">
      <selection activeCell="L20" sqref="L20"/>
    </sheetView>
  </sheetViews>
  <sheetFormatPr defaultColWidth="9.140625" defaultRowHeight="15"/>
  <cols>
    <col min="1" max="1" width="8.85546875" style="18" customWidth="1"/>
    <col min="2" max="2" width="17.7109375" style="109" customWidth="1"/>
    <col min="3" max="3" width="14.28515625" style="109" customWidth="1"/>
    <col min="4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3" spans="1:11">
      <c r="A3" s="482" t="s">
        <v>429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</row>
    <row r="5" spans="1:11">
      <c r="A5" s="482" t="s">
        <v>203</v>
      </c>
      <c r="B5" s="482"/>
      <c r="C5" s="277">
        <v>1210171053</v>
      </c>
    </row>
    <row r="7" spans="1:11">
      <c r="A7" s="482" t="s">
        <v>204</v>
      </c>
      <c r="B7" s="482"/>
      <c r="C7" s="482"/>
      <c r="D7" s="278" t="s">
        <v>497</v>
      </c>
    </row>
    <row r="8" spans="1:11">
      <c r="A8" s="287"/>
      <c r="B8" s="287"/>
      <c r="C8" s="287"/>
    </row>
    <row r="9" spans="1:11">
      <c r="A9" s="110" t="s">
        <v>205</v>
      </c>
      <c r="B9" s="111"/>
      <c r="C9" s="111"/>
      <c r="D9" s="111"/>
    </row>
    <row r="10" spans="1:11">
      <c r="A10" s="110" t="s">
        <v>206</v>
      </c>
      <c r="B10" s="111"/>
      <c r="C10" s="111"/>
      <c r="D10" s="111"/>
    </row>
    <row r="12" spans="1:11" s="112" customFormat="1" ht="12">
      <c r="A12" s="669"/>
      <c r="B12" s="668" t="s">
        <v>207</v>
      </c>
      <c r="C12" s="668" t="s">
        <v>208</v>
      </c>
      <c r="D12" s="668" t="s">
        <v>209</v>
      </c>
      <c r="E12" s="668"/>
      <c r="F12" s="668"/>
      <c r="G12" s="668"/>
      <c r="H12" s="668" t="s">
        <v>210</v>
      </c>
      <c r="I12" s="668" t="s">
        <v>305</v>
      </c>
      <c r="J12" s="668" t="s">
        <v>306</v>
      </c>
      <c r="K12" s="668" t="s">
        <v>307</v>
      </c>
    </row>
    <row r="13" spans="1:11" s="112" customFormat="1" ht="12">
      <c r="A13" s="669"/>
      <c r="B13" s="668"/>
      <c r="C13" s="668"/>
      <c r="D13" s="669" t="s">
        <v>211</v>
      </c>
      <c r="E13" s="293" t="s">
        <v>29</v>
      </c>
      <c r="F13" s="293"/>
      <c r="G13" s="293"/>
      <c r="H13" s="668"/>
      <c r="I13" s="668"/>
      <c r="J13" s="668"/>
      <c r="K13" s="668"/>
    </row>
    <row r="14" spans="1:11" s="114" customFormat="1" ht="36">
      <c r="A14" s="669"/>
      <c r="B14" s="668"/>
      <c r="C14" s="668"/>
      <c r="D14" s="669"/>
      <c r="E14" s="113" t="s">
        <v>212</v>
      </c>
      <c r="F14" s="113" t="s">
        <v>213</v>
      </c>
      <c r="G14" s="113" t="s">
        <v>214</v>
      </c>
      <c r="H14" s="668"/>
      <c r="I14" s="668"/>
      <c r="J14" s="668"/>
      <c r="K14" s="668"/>
    </row>
    <row r="15" spans="1:11" s="116" customFormat="1">
      <c r="A15" s="115">
        <v>1</v>
      </c>
      <c r="B15" s="115">
        <v>2</v>
      </c>
      <c r="C15" s="115">
        <v>3</v>
      </c>
      <c r="D15" s="115">
        <v>4</v>
      </c>
      <c r="E15" s="115">
        <v>5</v>
      </c>
      <c r="F15" s="115">
        <v>6</v>
      </c>
      <c r="G15" s="115">
        <v>7</v>
      </c>
      <c r="H15" s="115">
        <v>8</v>
      </c>
      <c r="I15" s="115">
        <v>9</v>
      </c>
      <c r="J15" s="115">
        <v>10</v>
      </c>
      <c r="K15" s="115">
        <v>11</v>
      </c>
    </row>
    <row r="16" spans="1:11" s="116" customFormat="1">
      <c r="A16" s="115"/>
      <c r="B16" s="115" t="s">
        <v>503</v>
      </c>
      <c r="C16" s="115"/>
      <c r="D16" s="115"/>
      <c r="E16" s="115"/>
      <c r="F16" s="115"/>
      <c r="G16" s="115"/>
      <c r="H16" s="115"/>
      <c r="I16" s="115"/>
      <c r="J16" s="157">
        <v>1208371</v>
      </c>
      <c r="K16" s="157">
        <v>1208371</v>
      </c>
    </row>
    <row r="17" spans="1:11" ht="24.75">
      <c r="A17" s="117">
        <v>1</v>
      </c>
      <c r="B17" s="113" t="s">
        <v>302</v>
      </c>
      <c r="C17" s="118"/>
      <c r="D17" s="118">
        <f>E17+F17+G17</f>
        <v>0</v>
      </c>
      <c r="E17" s="118"/>
      <c r="F17" s="118"/>
      <c r="G17" s="118"/>
      <c r="H17" s="118"/>
      <c r="I17" s="118">
        <f>C17*D17+H17</f>
        <v>0</v>
      </c>
      <c r="J17" s="118"/>
      <c r="K17" s="118"/>
    </row>
    <row r="18" spans="1:11">
      <c r="A18" s="117">
        <v>2</v>
      </c>
      <c r="B18" s="113" t="s">
        <v>303</v>
      </c>
      <c r="C18" s="118"/>
      <c r="D18" s="118">
        <f t="shared" ref="D18:D29" si="0">E18+F18+G18</f>
        <v>0</v>
      </c>
      <c r="E18" s="118"/>
      <c r="F18" s="118"/>
      <c r="G18" s="118"/>
      <c r="H18" s="118"/>
      <c r="I18" s="118">
        <f t="shared" ref="I18:I29" si="1">C18*D18+H18</f>
        <v>0</v>
      </c>
      <c r="J18" s="118"/>
      <c r="K18" s="118"/>
    </row>
    <row r="19" spans="1:11">
      <c r="A19" s="117">
        <v>3</v>
      </c>
      <c r="B19" s="113" t="s">
        <v>304</v>
      </c>
      <c r="C19" s="118">
        <v>35.6</v>
      </c>
      <c r="D19" s="306">
        <f t="shared" si="0"/>
        <v>0</v>
      </c>
      <c r="E19" s="118"/>
      <c r="F19" s="306"/>
      <c r="G19" s="306"/>
      <c r="H19" s="306">
        <v>2828.5835000000002</v>
      </c>
      <c r="I19" s="157">
        <f>ROUND((C19*(D19+H19))*8,0)</f>
        <v>805581</v>
      </c>
      <c r="J19" s="157"/>
      <c r="K19" s="157"/>
    </row>
    <row r="20" spans="1:11" s="116" customFormat="1">
      <c r="A20" s="115"/>
      <c r="B20" s="115" t="s">
        <v>504</v>
      </c>
      <c r="C20" s="115"/>
      <c r="D20" s="115"/>
      <c r="E20" s="115"/>
      <c r="F20" s="115"/>
      <c r="G20" s="115"/>
      <c r="H20" s="115"/>
      <c r="I20" s="157">
        <f t="shared" ref="I20:I22" si="2">ROUND((C20*(D20+H20))*8,0)</f>
        <v>0</v>
      </c>
      <c r="J20" s="115"/>
      <c r="K20" s="115"/>
    </row>
    <row r="21" spans="1:11" ht="24.75">
      <c r="A21" s="117">
        <v>1</v>
      </c>
      <c r="B21" s="113" t="s">
        <v>302</v>
      </c>
      <c r="C21" s="118"/>
      <c r="D21" s="118">
        <f>E21+F21+G21</f>
        <v>0</v>
      </c>
      <c r="E21" s="118"/>
      <c r="F21" s="118"/>
      <c r="G21" s="118"/>
      <c r="H21" s="118"/>
      <c r="I21" s="157">
        <f t="shared" si="2"/>
        <v>0</v>
      </c>
      <c r="J21" s="118"/>
      <c r="K21" s="118"/>
    </row>
    <row r="22" spans="1:11">
      <c r="A22" s="117">
        <v>2</v>
      </c>
      <c r="B22" s="113" t="s">
        <v>303</v>
      </c>
      <c r="C22" s="118"/>
      <c r="D22" s="118">
        <f t="shared" ref="D22:D23" si="3">E22+F22+G22</f>
        <v>0</v>
      </c>
      <c r="E22" s="118"/>
      <c r="F22" s="118"/>
      <c r="G22" s="118"/>
      <c r="H22" s="118"/>
      <c r="I22" s="157">
        <f t="shared" si="2"/>
        <v>0</v>
      </c>
      <c r="J22" s="118"/>
      <c r="K22" s="118"/>
    </row>
    <row r="23" spans="1:11">
      <c r="A23" s="117">
        <v>3</v>
      </c>
      <c r="B23" s="113" t="s">
        <v>304</v>
      </c>
      <c r="C23" s="118">
        <v>35.6</v>
      </c>
      <c r="D23" s="306">
        <f t="shared" si="3"/>
        <v>0</v>
      </c>
      <c r="E23" s="118"/>
      <c r="F23" s="306"/>
      <c r="G23" s="306"/>
      <c r="H23" s="306">
        <v>2828.5835000000002</v>
      </c>
      <c r="I23" s="157">
        <f>ROUND((C23*(D23+H23))*1,0)</f>
        <v>100698</v>
      </c>
      <c r="J23" s="157"/>
      <c r="K23" s="157"/>
    </row>
    <row r="24" spans="1:11" s="116" customFormat="1">
      <c r="A24" s="115"/>
      <c r="B24" s="115" t="s">
        <v>509</v>
      </c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ht="24.75">
      <c r="A25" s="117">
        <v>1</v>
      </c>
      <c r="B25" s="113" t="s">
        <v>302</v>
      </c>
      <c r="C25" s="118"/>
      <c r="D25" s="118">
        <f>E25+F25+G25</f>
        <v>0</v>
      </c>
      <c r="E25" s="118"/>
      <c r="F25" s="118"/>
      <c r="G25" s="118"/>
      <c r="H25" s="118"/>
      <c r="I25" s="118">
        <f>C25*D25+H25</f>
        <v>0</v>
      </c>
      <c r="J25" s="118"/>
      <c r="K25" s="118"/>
    </row>
    <row r="26" spans="1:11">
      <c r="A26" s="117">
        <v>2</v>
      </c>
      <c r="B26" s="113" t="s">
        <v>303</v>
      </c>
      <c r="C26" s="118"/>
      <c r="D26" s="118">
        <f t="shared" ref="D26:D27" si="4">E26+F26+G26</f>
        <v>0</v>
      </c>
      <c r="E26" s="118"/>
      <c r="F26" s="118"/>
      <c r="G26" s="118"/>
      <c r="H26" s="118"/>
      <c r="I26" s="118">
        <f t="shared" ref="I26" si="5">C26*D26+H26</f>
        <v>0</v>
      </c>
      <c r="J26" s="118"/>
      <c r="K26" s="118"/>
    </row>
    <row r="27" spans="1:11">
      <c r="A27" s="117">
        <v>3</v>
      </c>
      <c r="B27" s="113" t="s">
        <v>304</v>
      </c>
      <c r="C27" s="118">
        <v>35.6</v>
      </c>
      <c r="D27" s="306">
        <f t="shared" si="4"/>
        <v>0</v>
      </c>
      <c r="E27" s="118"/>
      <c r="F27" s="306"/>
      <c r="G27" s="306"/>
      <c r="H27" s="306">
        <v>2828.5835000000002</v>
      </c>
      <c r="I27" s="157">
        <f>ROUND((C27*(D27+H27))*3,0)-1</f>
        <v>302092</v>
      </c>
      <c r="J27" s="157"/>
      <c r="K27" s="157"/>
    </row>
    <row r="28" spans="1:11">
      <c r="A28" s="117"/>
      <c r="B28" s="153"/>
      <c r="C28" s="118"/>
      <c r="D28" s="118">
        <f t="shared" si="0"/>
        <v>0</v>
      </c>
      <c r="E28" s="118"/>
      <c r="F28" s="118"/>
      <c r="G28" s="118"/>
      <c r="H28" s="118"/>
      <c r="I28" s="157">
        <f t="shared" si="1"/>
        <v>0</v>
      </c>
      <c r="J28" s="157"/>
      <c r="K28" s="157"/>
    </row>
    <row r="29" spans="1:11">
      <c r="A29" s="117"/>
      <c r="B29" s="153"/>
      <c r="C29" s="118"/>
      <c r="D29" s="118">
        <f t="shared" si="0"/>
        <v>0</v>
      </c>
      <c r="E29" s="118"/>
      <c r="F29" s="118"/>
      <c r="G29" s="118"/>
      <c r="H29" s="118"/>
      <c r="I29" s="157">
        <f t="shared" si="1"/>
        <v>0</v>
      </c>
      <c r="J29" s="157"/>
      <c r="K29" s="157"/>
    </row>
    <row r="30" spans="1:11" s="156" customFormat="1">
      <c r="A30" s="154" t="s">
        <v>215</v>
      </c>
      <c r="B30" s="155"/>
      <c r="C30" s="155"/>
      <c r="D30" s="155"/>
      <c r="E30" s="155"/>
      <c r="F30" s="155"/>
      <c r="G30" s="155"/>
      <c r="H30" s="155"/>
      <c r="I30" s="158">
        <f>SUM(I17:I29)</f>
        <v>1208371</v>
      </c>
      <c r="J30" s="158">
        <f>SUM(J16:J29)</f>
        <v>1208371</v>
      </c>
      <c r="K30" s="158">
        <f>SUM(K16:K29)</f>
        <v>1208371</v>
      </c>
    </row>
    <row r="32" spans="1:11" s="66" customFormat="1" ht="14.25" hidden="1">
      <c r="A32" s="66" t="s">
        <v>216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idden="1"/>
    <row r="34" spans="1:11" s="112" customFormat="1" ht="48" hidden="1">
      <c r="A34" s="119" t="s">
        <v>217</v>
      </c>
      <c r="B34" s="113" t="s">
        <v>218</v>
      </c>
      <c r="C34" s="113" t="s">
        <v>219</v>
      </c>
      <c r="D34" s="113" t="s">
        <v>220</v>
      </c>
      <c r="E34" s="113" t="s">
        <v>221</v>
      </c>
      <c r="F34" s="113" t="s">
        <v>222</v>
      </c>
      <c r="G34" s="113" t="s">
        <v>222</v>
      </c>
      <c r="H34" s="113" t="s">
        <v>222</v>
      </c>
      <c r="I34" s="120"/>
      <c r="J34" s="120"/>
      <c r="K34" s="120"/>
    </row>
    <row r="35" spans="1:11" s="116" customFormat="1" hidden="1">
      <c r="A35" s="115">
        <v>1</v>
      </c>
      <c r="B35" s="115">
        <v>2</v>
      </c>
      <c r="C35" s="115">
        <v>3</v>
      </c>
      <c r="D35" s="115">
        <v>4</v>
      </c>
      <c r="E35" s="115">
        <v>5</v>
      </c>
      <c r="F35" s="115">
        <v>6</v>
      </c>
      <c r="G35" s="115">
        <v>7</v>
      </c>
      <c r="H35" s="115">
        <v>8</v>
      </c>
    </row>
    <row r="36" spans="1:11" hidden="1">
      <c r="A36" s="117"/>
      <c r="B36" s="118"/>
      <c r="C36" s="118"/>
      <c r="D36" s="118"/>
      <c r="E36" s="118"/>
      <c r="F36" s="118"/>
      <c r="G36" s="118"/>
      <c r="H36" s="118"/>
    </row>
    <row r="37" spans="1:11" hidden="1">
      <c r="A37" s="117"/>
      <c r="B37" s="118"/>
      <c r="C37" s="118"/>
      <c r="D37" s="118"/>
      <c r="E37" s="118"/>
      <c r="F37" s="118"/>
      <c r="G37" s="118"/>
      <c r="H37" s="118"/>
    </row>
    <row r="38" spans="1:11" hidden="1">
      <c r="A38" s="117"/>
      <c r="B38" s="118"/>
      <c r="C38" s="118"/>
      <c r="D38" s="118"/>
      <c r="E38" s="118"/>
      <c r="F38" s="118"/>
      <c r="G38" s="118"/>
      <c r="H38" s="118"/>
    </row>
    <row r="39" spans="1:11" hidden="1">
      <c r="A39" s="117"/>
      <c r="B39" s="118"/>
      <c r="C39" s="118"/>
      <c r="D39" s="118"/>
      <c r="E39" s="118"/>
      <c r="F39" s="118"/>
      <c r="G39" s="118"/>
      <c r="H39" s="118"/>
    </row>
    <row r="40" spans="1:11" hidden="1">
      <c r="A40" s="117"/>
      <c r="B40" s="118"/>
      <c r="C40" s="118"/>
      <c r="D40" s="118"/>
      <c r="E40" s="118"/>
      <c r="F40" s="118"/>
      <c r="G40" s="118"/>
      <c r="H40" s="118"/>
    </row>
    <row r="41" spans="1:11" hidden="1">
      <c r="A41" s="117"/>
      <c r="B41" s="118"/>
      <c r="C41" s="118"/>
      <c r="D41" s="118"/>
      <c r="E41" s="118"/>
      <c r="F41" s="118"/>
      <c r="G41" s="118"/>
      <c r="H41" s="118"/>
    </row>
    <row r="42" spans="1:11" hidden="1">
      <c r="A42" s="117"/>
      <c r="B42" s="118"/>
      <c r="C42" s="118"/>
      <c r="D42" s="118"/>
      <c r="E42" s="118"/>
      <c r="F42" s="118"/>
      <c r="G42" s="118"/>
      <c r="H42" s="118"/>
    </row>
    <row r="43" spans="1:11" hidden="1"/>
    <row r="44" spans="1:11">
      <c r="A44" s="674" t="s">
        <v>223</v>
      </c>
      <c r="B44" s="674"/>
      <c r="C44" s="674"/>
      <c r="D44" s="674"/>
      <c r="E44" s="674"/>
      <c r="F44" s="674"/>
      <c r="G44" s="674"/>
      <c r="H44" s="674"/>
    </row>
    <row r="46" spans="1:11" ht="48.75">
      <c r="A46" s="119" t="s">
        <v>217</v>
      </c>
      <c r="B46" s="670" t="s">
        <v>224</v>
      </c>
      <c r="C46" s="675"/>
      <c r="D46" s="671"/>
      <c r="E46" s="113" t="s">
        <v>225</v>
      </c>
      <c r="F46" s="113" t="s">
        <v>296</v>
      </c>
      <c r="G46" s="113" t="s">
        <v>297</v>
      </c>
      <c r="H46" s="113" t="s">
        <v>298</v>
      </c>
    </row>
    <row r="47" spans="1:11">
      <c r="A47" s="115">
        <v>1</v>
      </c>
      <c r="B47" s="672">
        <v>2</v>
      </c>
      <c r="C47" s="676"/>
      <c r="D47" s="673"/>
      <c r="E47" s="115">
        <v>3</v>
      </c>
      <c r="F47" s="115">
        <v>4</v>
      </c>
      <c r="G47" s="115">
        <v>5</v>
      </c>
      <c r="H47" s="115">
        <v>6</v>
      </c>
    </row>
    <row r="48" spans="1:11">
      <c r="A48" s="117">
        <v>1</v>
      </c>
      <c r="B48" s="677" t="s">
        <v>226</v>
      </c>
      <c r="C48" s="678"/>
      <c r="D48" s="679"/>
      <c r="E48" s="157"/>
      <c r="F48" s="157">
        <f>F50</f>
        <v>265842</v>
      </c>
      <c r="G48" s="157">
        <f t="shared" ref="G48:H48" si="6">G50</f>
        <v>265842</v>
      </c>
      <c r="H48" s="157">
        <f t="shared" si="6"/>
        <v>265842</v>
      </c>
    </row>
    <row r="49" spans="1:21">
      <c r="A49" s="117"/>
      <c r="B49" s="677" t="s">
        <v>29</v>
      </c>
      <c r="C49" s="678"/>
      <c r="D49" s="679"/>
      <c r="E49" s="157"/>
      <c r="F49" s="157"/>
      <c r="G49" s="157"/>
      <c r="H49" s="157"/>
    </row>
    <row r="50" spans="1:21">
      <c r="A50" s="121"/>
      <c r="B50" s="677" t="s">
        <v>227</v>
      </c>
      <c r="C50" s="678"/>
      <c r="D50" s="679"/>
      <c r="E50" s="157">
        <f>I30</f>
        <v>1208371</v>
      </c>
      <c r="F50" s="157">
        <f>ROUND(E50*0.22,0)</f>
        <v>265842</v>
      </c>
      <c r="G50" s="157">
        <f>ROUND(J30*0.22,0)</f>
        <v>265842</v>
      </c>
      <c r="H50" s="157">
        <f>ROUND(K30*0.22,0)</f>
        <v>265842</v>
      </c>
    </row>
    <row r="51" spans="1:21">
      <c r="A51" s="117">
        <v>2</v>
      </c>
      <c r="B51" s="677" t="s">
        <v>228</v>
      </c>
      <c r="C51" s="678"/>
      <c r="D51" s="679"/>
      <c r="E51" s="157"/>
      <c r="F51" s="157">
        <f>F52+F53</f>
        <v>37460</v>
      </c>
      <c r="G51" s="157">
        <f t="shared" ref="G51:H51" si="7">G52+G53</f>
        <v>37460</v>
      </c>
      <c r="H51" s="157">
        <f t="shared" si="7"/>
        <v>37460</v>
      </c>
    </row>
    <row r="52" spans="1:21">
      <c r="A52" s="117"/>
      <c r="B52" s="677" t="s">
        <v>229</v>
      </c>
      <c r="C52" s="678"/>
      <c r="D52" s="679"/>
      <c r="E52" s="157">
        <f>E50</f>
        <v>1208371</v>
      </c>
      <c r="F52" s="157">
        <f>ROUND(E52*0.029,0)</f>
        <v>35043</v>
      </c>
      <c r="G52" s="157">
        <f>ROUND(J30*0.029,0)</f>
        <v>35043</v>
      </c>
      <c r="H52" s="157">
        <f>ROUND(K30*0.029,0)</f>
        <v>35043</v>
      </c>
    </row>
    <row r="53" spans="1:21">
      <c r="A53" s="117"/>
      <c r="B53" s="677" t="s">
        <v>230</v>
      </c>
      <c r="C53" s="678"/>
      <c r="D53" s="679"/>
      <c r="E53" s="157">
        <f>E52</f>
        <v>1208371</v>
      </c>
      <c r="F53" s="157">
        <f>ROUND(E53*0.002,0)</f>
        <v>2417</v>
      </c>
      <c r="G53" s="157">
        <f>ROUND(J30*0.002,0)</f>
        <v>2417</v>
      </c>
      <c r="H53" s="157">
        <f>ROUND(K30*0.002,0)</f>
        <v>2417</v>
      </c>
    </row>
    <row r="54" spans="1:21">
      <c r="A54" s="117">
        <v>3</v>
      </c>
      <c r="B54" s="677" t="s">
        <v>231</v>
      </c>
      <c r="C54" s="678"/>
      <c r="D54" s="679"/>
      <c r="E54" s="157">
        <f>E53</f>
        <v>1208371</v>
      </c>
      <c r="F54" s="157">
        <f>ROUND(E54*0.051,0)-1</f>
        <v>61626</v>
      </c>
      <c r="G54" s="157">
        <f>ROUND(J30*0.051,0)-1</f>
        <v>61626</v>
      </c>
      <c r="H54" s="157">
        <f>ROUND(K30*0.051,0)-1</f>
        <v>61626</v>
      </c>
    </row>
    <row r="55" spans="1:21" s="156" customFormat="1">
      <c r="A55" s="154"/>
      <c r="B55" s="680" t="s">
        <v>215</v>
      </c>
      <c r="C55" s="680"/>
      <c r="D55" s="680"/>
      <c r="E55" s="158"/>
      <c r="F55" s="158">
        <f>F48+F51+F54</f>
        <v>364928</v>
      </c>
      <c r="G55" s="158">
        <f t="shared" ref="G55:H55" si="8">G48+G51+G54</f>
        <v>364928</v>
      </c>
      <c r="H55" s="158">
        <f t="shared" si="8"/>
        <v>364928</v>
      </c>
      <c r="I55" s="159"/>
      <c r="J55" s="159"/>
      <c r="K55" s="159"/>
    </row>
    <row r="56" spans="1:21" ht="15.75" thickBot="1"/>
    <row r="57" spans="1:21" ht="15.75" thickBot="1">
      <c r="A57" s="122"/>
      <c r="B57" s="694" t="s">
        <v>263</v>
      </c>
      <c r="C57" s="695"/>
      <c r="D57" s="695"/>
      <c r="E57" s="696"/>
      <c r="F57" s="161">
        <f>I30+F55</f>
        <v>1573299</v>
      </c>
      <c r="G57" s="161">
        <f>J30+G55</f>
        <v>1573299</v>
      </c>
      <c r="H57" s="161">
        <f>K30+H55</f>
        <v>1573299</v>
      </c>
    </row>
    <row r="60" spans="1:21" s="335" customFormat="1" ht="20.25" customHeight="1">
      <c r="A60" s="697" t="s">
        <v>179</v>
      </c>
      <c r="B60" s="697"/>
      <c r="C60" s="697"/>
      <c r="D60" s="328" t="s">
        <v>401</v>
      </c>
      <c r="E60" s="123"/>
      <c r="F60" s="328"/>
      <c r="G60" s="123"/>
      <c r="H60" s="328" t="s">
        <v>505</v>
      </c>
      <c r="I60" s="328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4"/>
    </row>
    <row r="61" spans="1:21" s="335" customFormat="1" ht="20.25" customHeight="1">
      <c r="A61" s="697" t="s">
        <v>180</v>
      </c>
      <c r="B61" s="697"/>
      <c r="C61" s="697"/>
      <c r="D61" s="125" t="s">
        <v>264</v>
      </c>
      <c r="E61" s="126"/>
      <c r="F61" s="125" t="s">
        <v>265</v>
      </c>
      <c r="G61" s="126"/>
      <c r="H61" s="337" t="s">
        <v>266</v>
      </c>
      <c r="I61" s="337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4"/>
    </row>
    <row r="62" spans="1:21" s="335" customFormat="1">
      <c r="A62" s="336"/>
    </row>
    <row r="63" spans="1:21" s="335" customFormat="1" ht="30" customHeight="1">
      <c r="A63" s="698" t="s">
        <v>182</v>
      </c>
      <c r="B63" s="698"/>
      <c r="C63"/>
      <c r="D63" s="328" t="s">
        <v>515</v>
      </c>
      <c r="E63"/>
      <c r="F63" s="328"/>
      <c r="G63"/>
      <c r="H63" s="328" t="s">
        <v>519</v>
      </c>
      <c r="I63" s="328"/>
      <c r="J63" s="658" t="s">
        <v>488</v>
      </c>
      <c r="K63" s="658"/>
    </row>
    <row r="64" spans="1:21" s="335" customFormat="1">
      <c r="C64"/>
      <c r="D64" s="125" t="s">
        <v>267</v>
      </c>
      <c r="E64"/>
      <c r="F64" s="125" t="s">
        <v>265</v>
      </c>
      <c r="G64"/>
      <c r="H64" s="337" t="s">
        <v>266</v>
      </c>
      <c r="I64" s="337"/>
      <c r="J64" s="646" t="s">
        <v>183</v>
      </c>
      <c r="K64" s="646"/>
    </row>
    <row r="65" spans="1:5" s="335" customFormat="1">
      <c r="A65" s="698" t="s">
        <v>489</v>
      </c>
      <c r="B65" s="698"/>
      <c r="C65" s="698"/>
      <c r="D65" s="698"/>
      <c r="E65" s="698"/>
    </row>
  </sheetData>
  <mergeCells count="31">
    <mergeCell ref="J63:K63"/>
    <mergeCell ref="J64:K64"/>
    <mergeCell ref="A65:E65"/>
    <mergeCell ref="B48:D48"/>
    <mergeCell ref="B49:D49"/>
    <mergeCell ref="B50:D50"/>
    <mergeCell ref="B51:D51"/>
    <mergeCell ref="B52:D52"/>
    <mergeCell ref="B54:D54"/>
    <mergeCell ref="B55:D55"/>
    <mergeCell ref="B57:E57"/>
    <mergeCell ref="A60:C60"/>
    <mergeCell ref="A61:C61"/>
    <mergeCell ref="A63:B63"/>
    <mergeCell ref="B53:D53"/>
    <mergeCell ref="A7:C7"/>
    <mergeCell ref="A1:K1"/>
    <mergeCell ref="A3:K3"/>
    <mergeCell ref="A5:B5"/>
    <mergeCell ref="B47:D47"/>
    <mergeCell ref="A12:A14"/>
    <mergeCell ref="B12:B14"/>
    <mergeCell ref="C12:C14"/>
    <mergeCell ref="D12:G12"/>
    <mergeCell ref="J12:J14"/>
    <mergeCell ref="K12:K14"/>
    <mergeCell ref="D13:D14"/>
    <mergeCell ref="A44:H44"/>
    <mergeCell ref="B46:D46"/>
    <mergeCell ref="H12:H14"/>
    <mergeCell ref="I12:I14"/>
  </mergeCells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184"/>
  <sheetViews>
    <sheetView tabSelected="1" view="pageBreakPreview" topLeftCell="A13" zoomScaleSheetLayoutView="100" workbookViewId="0">
      <selection activeCell="K166" sqref="K166"/>
    </sheetView>
  </sheetViews>
  <sheetFormatPr defaultColWidth="9.140625" defaultRowHeight="15"/>
  <cols>
    <col min="1" max="1" width="5.42578125" style="18" customWidth="1"/>
    <col min="2" max="2" width="17.7109375" style="109" customWidth="1"/>
    <col min="3" max="3" width="11.140625" style="109" customWidth="1"/>
    <col min="4" max="4" width="17.140625" style="109" customWidth="1"/>
    <col min="5" max="5" width="14" style="109" customWidth="1"/>
    <col min="6" max="6" width="14.7109375" style="109" customWidth="1"/>
    <col min="7" max="7" width="15.7109375" style="109" customWidth="1"/>
    <col min="8" max="8" width="16.42578125" style="109" customWidth="1"/>
    <col min="9" max="9" width="15.28515625" style="109" customWidth="1"/>
    <col min="10" max="10" width="16.85546875" style="109" customWidth="1"/>
    <col min="11" max="11" width="17.28515625" style="109" customWidth="1"/>
    <col min="12" max="12" width="17.28515625" style="18" customWidth="1"/>
    <col min="13" max="14" width="9.140625" style="18"/>
    <col min="15" max="15" width="11.140625" style="18" customWidth="1"/>
    <col min="16" max="19" width="9.140625" style="18"/>
    <col min="20" max="20" width="15.28515625" style="18" customWidth="1"/>
    <col min="21" max="21" width="15.85546875" style="18" customWidth="1"/>
    <col min="22" max="16384" width="9.140625" style="18"/>
  </cols>
  <sheetData>
    <row r="1" spans="1:2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3" spans="1:21">
      <c r="A3" s="482" t="s">
        <v>429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</row>
    <row r="5" spans="1:21">
      <c r="A5" s="482" t="s">
        <v>203</v>
      </c>
      <c r="B5" s="482"/>
      <c r="C5" s="321" t="s">
        <v>191</v>
      </c>
    </row>
    <row r="7" spans="1:21">
      <c r="A7" s="482" t="s">
        <v>204</v>
      </c>
      <c r="B7" s="482"/>
      <c r="C7" s="482"/>
      <c r="D7" s="278" t="s">
        <v>497</v>
      </c>
    </row>
    <row r="8" spans="1:21">
      <c r="A8" s="287"/>
      <c r="B8" s="287"/>
      <c r="C8" s="287"/>
    </row>
    <row r="9" spans="1:21">
      <c r="A9" s="110" t="s">
        <v>205</v>
      </c>
      <c r="B9" s="111"/>
      <c r="C9" s="111"/>
      <c r="D9" s="111"/>
    </row>
    <row r="10" spans="1:21">
      <c r="A10" s="110" t="s">
        <v>206</v>
      </c>
      <c r="B10" s="111"/>
      <c r="C10" s="111"/>
      <c r="D10" s="111"/>
    </row>
    <row r="12" spans="1:21" s="112" customFormat="1">
      <c r="A12" s="669"/>
      <c r="B12" s="668" t="s">
        <v>207</v>
      </c>
      <c r="C12" s="668" t="s">
        <v>208</v>
      </c>
      <c r="D12" s="668" t="s">
        <v>209</v>
      </c>
      <c r="E12" s="668"/>
      <c r="F12" s="668"/>
      <c r="G12" s="668"/>
      <c r="H12" s="668" t="s">
        <v>210</v>
      </c>
      <c r="I12" s="668" t="s">
        <v>305</v>
      </c>
      <c r="J12" s="668" t="s">
        <v>306</v>
      </c>
      <c r="K12" s="668" t="s">
        <v>307</v>
      </c>
      <c r="L12"/>
      <c r="M12"/>
      <c r="N12"/>
      <c r="O12"/>
      <c r="P12"/>
      <c r="Q12"/>
      <c r="R12"/>
      <c r="S12"/>
      <c r="T12"/>
      <c r="U12"/>
    </row>
    <row r="13" spans="1:21" s="112" customFormat="1">
      <c r="A13" s="669"/>
      <c r="B13" s="668"/>
      <c r="C13" s="668"/>
      <c r="D13" s="669" t="s">
        <v>211</v>
      </c>
      <c r="E13" s="293" t="s">
        <v>29</v>
      </c>
      <c r="F13" s="293"/>
      <c r="G13" s="293"/>
      <c r="H13" s="668"/>
      <c r="I13" s="668"/>
      <c r="J13" s="668"/>
      <c r="K13" s="668"/>
      <c r="L13"/>
      <c r="M13"/>
      <c r="N13"/>
      <c r="O13"/>
      <c r="P13"/>
      <c r="Q13"/>
      <c r="R13"/>
      <c r="S13"/>
      <c r="T13"/>
      <c r="U13"/>
    </row>
    <row r="14" spans="1:21" s="114" customFormat="1" ht="36.75">
      <c r="A14" s="669"/>
      <c r="B14" s="668"/>
      <c r="C14" s="668"/>
      <c r="D14" s="669"/>
      <c r="E14" s="113" t="s">
        <v>212</v>
      </c>
      <c r="F14" s="113" t="s">
        <v>213</v>
      </c>
      <c r="G14" s="113" t="s">
        <v>214</v>
      </c>
      <c r="H14" s="668"/>
      <c r="I14" s="668"/>
      <c r="J14" s="668"/>
      <c r="K14" s="668"/>
      <c r="L14"/>
      <c r="M14"/>
      <c r="N14"/>
      <c r="O14"/>
      <c r="P14"/>
      <c r="Q14"/>
      <c r="R14"/>
      <c r="S14"/>
      <c r="T14"/>
      <c r="U14"/>
    </row>
    <row r="15" spans="1:21" s="116" customFormat="1">
      <c r="A15" s="115">
        <v>1</v>
      </c>
      <c r="B15" s="115">
        <v>2</v>
      </c>
      <c r="C15" s="115">
        <v>3</v>
      </c>
      <c r="D15" s="115">
        <v>4</v>
      </c>
      <c r="E15" s="115">
        <v>5</v>
      </c>
      <c r="F15" s="115">
        <v>6</v>
      </c>
      <c r="G15" s="115">
        <v>7</v>
      </c>
      <c r="H15" s="115">
        <v>8</v>
      </c>
      <c r="I15" s="115">
        <v>9</v>
      </c>
      <c r="J15" s="115">
        <v>10</v>
      </c>
      <c r="K15" s="115">
        <v>11</v>
      </c>
      <c r="L15"/>
      <c r="M15"/>
      <c r="N15"/>
      <c r="O15"/>
      <c r="P15"/>
      <c r="Q15"/>
      <c r="R15"/>
      <c r="S15"/>
      <c r="T15"/>
      <c r="U15"/>
    </row>
    <row r="16" spans="1:21" s="116" customFormat="1">
      <c r="A16" s="115"/>
      <c r="B16" s="115" t="s">
        <v>503</v>
      </c>
      <c r="C16" s="115"/>
      <c r="D16" s="115"/>
      <c r="E16" s="115"/>
      <c r="F16" s="115"/>
      <c r="G16" s="115"/>
      <c r="H16" s="115"/>
      <c r="I16" s="115"/>
      <c r="J16" s="322">
        <v>25892163</v>
      </c>
      <c r="K16" s="322">
        <v>26969527</v>
      </c>
      <c r="L16"/>
      <c r="M16"/>
      <c r="N16"/>
      <c r="O16"/>
      <c r="P16"/>
      <c r="Q16"/>
      <c r="R16"/>
      <c r="S16"/>
      <c r="T16"/>
      <c r="U16"/>
    </row>
    <row r="17" spans="1:21" ht="24.75">
      <c r="A17" s="117">
        <v>1</v>
      </c>
      <c r="B17" s="113" t="s">
        <v>302</v>
      </c>
      <c r="C17" s="118">
        <v>5</v>
      </c>
      <c r="D17" s="157">
        <f>E17+F17+G17</f>
        <v>37764.050000000003</v>
      </c>
      <c r="E17" s="326">
        <v>32622.27</v>
      </c>
      <c r="F17" s="157"/>
      <c r="G17" s="325">
        <v>5141.78</v>
      </c>
      <c r="H17" s="157"/>
      <c r="I17" s="157">
        <f>ROUND(((C17*(D17+H17))*7),0)</f>
        <v>1321742</v>
      </c>
      <c r="J17" s="157"/>
      <c r="K17" s="157"/>
      <c r="L17"/>
      <c r="M17"/>
      <c r="N17"/>
      <c r="O17"/>
      <c r="P17"/>
      <c r="Q17"/>
      <c r="R17"/>
      <c r="S17"/>
      <c r="T17"/>
      <c r="U17"/>
    </row>
    <row r="18" spans="1:21">
      <c r="A18" s="117">
        <v>2</v>
      </c>
      <c r="B18" s="113" t="s">
        <v>303</v>
      </c>
      <c r="C18" s="118">
        <v>62.2</v>
      </c>
      <c r="D18" s="157">
        <f t="shared" ref="D18:D20" si="0">E18+F18+G18</f>
        <v>21410.057000000001</v>
      </c>
      <c r="E18" s="326">
        <v>18770.02</v>
      </c>
      <c r="F18" s="326">
        <v>309.75</v>
      </c>
      <c r="G18" s="157">
        <f>2264.28+66.007</f>
        <v>2330.2870000000003</v>
      </c>
      <c r="H18" s="157"/>
      <c r="I18" s="157">
        <f>ROUND((C18*(D18+H18))*7,0)</f>
        <v>9321939</v>
      </c>
      <c r="J18" s="157"/>
      <c r="K18" s="157"/>
      <c r="L18"/>
      <c r="M18"/>
      <c r="N18"/>
      <c r="O18"/>
      <c r="P18"/>
      <c r="Q18"/>
      <c r="R18"/>
      <c r="S18"/>
      <c r="T18"/>
      <c r="U18"/>
    </row>
    <row r="19" spans="1:21">
      <c r="A19" s="117">
        <v>3</v>
      </c>
      <c r="B19" s="113" t="s">
        <v>304</v>
      </c>
      <c r="C19" s="118">
        <v>40</v>
      </c>
      <c r="D19" s="157">
        <f t="shared" si="0"/>
        <v>12674.1113</v>
      </c>
      <c r="E19" s="157">
        <v>12130</v>
      </c>
      <c r="F19" s="157">
        <v>58.42</v>
      </c>
      <c r="G19" s="157">
        <f>365.175+120.5163</f>
        <v>485.69130000000001</v>
      </c>
      <c r="H19" s="157"/>
      <c r="I19" s="157">
        <f>((C19*(D19+H19))*7)</f>
        <v>3548751.1640000003</v>
      </c>
      <c r="J19" s="157"/>
      <c r="K19" s="157"/>
      <c r="L19"/>
      <c r="M19"/>
      <c r="N19"/>
      <c r="O19"/>
      <c r="P19"/>
      <c r="Q19"/>
      <c r="R19"/>
      <c r="S19"/>
      <c r="T19"/>
      <c r="U19"/>
    </row>
    <row r="20" spans="1:21" s="116" customFormat="1">
      <c r="A20" s="115"/>
      <c r="B20" s="115" t="s">
        <v>508</v>
      </c>
      <c r="C20" s="115"/>
      <c r="D20" s="157">
        <f t="shared" si="0"/>
        <v>0</v>
      </c>
      <c r="E20" s="115"/>
      <c r="F20" s="115"/>
      <c r="G20" s="115"/>
      <c r="H20" s="115"/>
      <c r="I20" s="115"/>
      <c r="J20" s="115"/>
      <c r="K20" s="115"/>
      <c r="L20"/>
      <c r="M20"/>
      <c r="N20"/>
      <c r="O20"/>
      <c r="P20"/>
      <c r="Q20"/>
      <c r="R20"/>
      <c r="S20"/>
      <c r="T20"/>
      <c r="U20"/>
    </row>
    <row r="21" spans="1:21" ht="24.75">
      <c r="A21" s="117">
        <v>1</v>
      </c>
      <c r="B21" s="113" t="s">
        <v>302</v>
      </c>
      <c r="C21" s="118">
        <v>5</v>
      </c>
      <c r="D21" s="157">
        <f>E21+F21+G21</f>
        <v>37764.050000000003</v>
      </c>
      <c r="E21" s="326">
        <v>32622.27</v>
      </c>
      <c r="F21" s="157"/>
      <c r="G21" s="325">
        <v>5141.78</v>
      </c>
      <c r="H21" s="157"/>
      <c r="I21" s="157">
        <f>ROUND((C21*(D21+H21))*1,0)</f>
        <v>188820</v>
      </c>
      <c r="J21" s="157"/>
      <c r="K21" s="157"/>
      <c r="L21"/>
      <c r="M21"/>
      <c r="N21"/>
      <c r="O21"/>
      <c r="P21"/>
      <c r="Q21"/>
      <c r="R21"/>
      <c r="S21"/>
      <c r="T21"/>
      <c r="U21"/>
    </row>
    <row r="22" spans="1:21">
      <c r="A22" s="117">
        <v>2</v>
      </c>
      <c r="B22" s="113" t="s">
        <v>303</v>
      </c>
      <c r="C22" s="118">
        <v>62.2</v>
      </c>
      <c r="D22" s="157">
        <f t="shared" ref="D22:D24" si="1">E22+F22+G22</f>
        <v>26233.308000000001</v>
      </c>
      <c r="E22" s="326">
        <v>18770.02</v>
      </c>
      <c r="F22" s="326">
        <v>309.75</v>
      </c>
      <c r="G22" s="157">
        <f>7153.538</f>
        <v>7153.5379999999996</v>
      </c>
      <c r="H22" s="157"/>
      <c r="I22" s="157">
        <f>ROUND((C22*(D22+H22))*1,0)</f>
        <v>1631712</v>
      </c>
      <c r="J22" s="157"/>
      <c r="K22" s="157"/>
      <c r="L22"/>
      <c r="M22"/>
      <c r="N22"/>
      <c r="O22"/>
      <c r="P22"/>
      <c r="Q22"/>
      <c r="R22"/>
      <c r="S22"/>
      <c r="T22"/>
      <c r="U22"/>
    </row>
    <row r="23" spans="1:21">
      <c r="A23" s="117">
        <v>3</v>
      </c>
      <c r="B23" s="113" t="s">
        <v>304</v>
      </c>
      <c r="C23" s="118">
        <v>40</v>
      </c>
      <c r="D23" s="157">
        <f t="shared" si="1"/>
        <v>13285.4</v>
      </c>
      <c r="E23" s="157">
        <v>12130</v>
      </c>
      <c r="F23" s="157">
        <v>58.42</v>
      </c>
      <c r="G23" s="157">
        <v>1096.98</v>
      </c>
      <c r="H23" s="157"/>
      <c r="I23" s="157">
        <f>ROUND((C23*(D23+H23))*1,0)</f>
        <v>531416</v>
      </c>
      <c r="J23" s="157"/>
      <c r="K23" s="157"/>
      <c r="L23"/>
      <c r="M23"/>
      <c r="N23"/>
      <c r="O23"/>
      <c r="P23"/>
      <c r="Q23"/>
      <c r="R23"/>
      <c r="S23"/>
      <c r="T23"/>
      <c r="U23"/>
    </row>
    <row r="24" spans="1:21" s="116" customFormat="1">
      <c r="A24" s="115"/>
      <c r="B24" s="115" t="s">
        <v>504</v>
      </c>
      <c r="C24" s="115"/>
      <c r="D24" s="157">
        <f t="shared" si="1"/>
        <v>0</v>
      </c>
      <c r="E24" s="115"/>
      <c r="F24" s="115"/>
      <c r="G24" s="115"/>
      <c r="H24" s="115"/>
      <c r="I24" s="115"/>
      <c r="J24" s="115"/>
      <c r="K24" s="115"/>
      <c r="L24"/>
      <c r="M24"/>
      <c r="N24"/>
      <c r="O24"/>
      <c r="P24"/>
      <c r="Q24"/>
      <c r="R24"/>
      <c r="S24"/>
      <c r="T24"/>
      <c r="U24"/>
    </row>
    <row r="25" spans="1:21" ht="24.75">
      <c r="A25" s="117">
        <v>1</v>
      </c>
      <c r="B25" s="113" t="s">
        <v>302</v>
      </c>
      <c r="C25" s="118">
        <v>5</v>
      </c>
      <c r="D25" s="157">
        <f>E25+F25+G25</f>
        <v>37764.050000000003</v>
      </c>
      <c r="E25" s="326">
        <v>32622.27</v>
      </c>
      <c r="F25" s="157"/>
      <c r="G25" s="325">
        <v>5141.78</v>
      </c>
      <c r="H25" s="157"/>
      <c r="I25" s="157">
        <f>ROUND((C25*(D25+H25))*1,0)</f>
        <v>188820</v>
      </c>
      <c r="J25" s="157"/>
      <c r="K25" s="157"/>
      <c r="L25"/>
      <c r="M25"/>
      <c r="N25"/>
      <c r="O25"/>
      <c r="P25"/>
      <c r="Q25"/>
      <c r="R25"/>
      <c r="S25"/>
      <c r="T25"/>
      <c r="U25"/>
    </row>
    <row r="26" spans="1:21">
      <c r="A26" s="117">
        <v>2</v>
      </c>
      <c r="B26" s="113" t="s">
        <v>303</v>
      </c>
      <c r="C26" s="118">
        <v>62.2</v>
      </c>
      <c r="D26" s="157">
        <f t="shared" ref="D26:D28" si="2">E26+F26+G26</f>
        <v>21344.05</v>
      </c>
      <c r="E26" s="326">
        <v>18770.02</v>
      </c>
      <c r="F26" s="326">
        <v>309.75</v>
      </c>
      <c r="G26" s="157">
        <v>2264.2800000000002</v>
      </c>
      <c r="H26" s="157"/>
      <c r="I26" s="157">
        <f>ROUND((C26*(D26+H26))*1,0)</f>
        <v>1327600</v>
      </c>
      <c r="J26" s="157"/>
      <c r="K26" s="157"/>
      <c r="L26"/>
      <c r="M26"/>
      <c r="N26"/>
      <c r="O26"/>
      <c r="P26"/>
      <c r="Q26"/>
      <c r="R26"/>
      <c r="S26"/>
      <c r="T26"/>
      <c r="U26"/>
    </row>
    <row r="27" spans="1:21">
      <c r="A27" s="117">
        <v>3</v>
      </c>
      <c r="B27" s="113" t="s">
        <v>304</v>
      </c>
      <c r="C27" s="118">
        <v>40</v>
      </c>
      <c r="D27" s="157">
        <f t="shared" si="2"/>
        <v>12553.59</v>
      </c>
      <c r="E27" s="157">
        <v>12130</v>
      </c>
      <c r="F27" s="157">
        <v>58.42</v>
      </c>
      <c r="G27" s="157">
        <v>365.17</v>
      </c>
      <c r="H27" s="157"/>
      <c r="I27" s="157">
        <f>ROUND((C27*(D27+H27))*1,0)</f>
        <v>502144</v>
      </c>
      <c r="J27" s="157"/>
      <c r="K27" s="157"/>
      <c r="L27"/>
      <c r="M27"/>
      <c r="N27"/>
      <c r="O27"/>
      <c r="P27"/>
      <c r="Q27"/>
      <c r="R27"/>
      <c r="S27"/>
      <c r="T27"/>
      <c r="U27"/>
    </row>
    <row r="28" spans="1:21" s="116" customFormat="1">
      <c r="A28" s="115"/>
      <c r="B28" s="115" t="s">
        <v>509</v>
      </c>
      <c r="C28" s="115"/>
      <c r="D28" s="157">
        <f t="shared" si="2"/>
        <v>0</v>
      </c>
      <c r="E28" s="115"/>
      <c r="F28" s="115"/>
      <c r="G28" s="115"/>
      <c r="H28" s="115"/>
      <c r="I28" s="115"/>
      <c r="J28" s="115"/>
      <c r="K28" s="115"/>
      <c r="L28"/>
      <c r="M28"/>
      <c r="N28"/>
      <c r="O28"/>
      <c r="P28"/>
      <c r="Q28"/>
      <c r="R28"/>
      <c r="S28"/>
      <c r="T28"/>
      <c r="U28"/>
    </row>
    <row r="29" spans="1:21" ht="24.75">
      <c r="A29" s="117">
        <v>1</v>
      </c>
      <c r="B29" s="113" t="s">
        <v>302</v>
      </c>
      <c r="C29" s="118">
        <v>5</v>
      </c>
      <c r="D29" s="157">
        <f>E29+F29+G29</f>
        <v>38742.718099999998</v>
      </c>
      <c r="E29" s="326">
        <f>(32622.27)*1.03</f>
        <v>33600.938099999999</v>
      </c>
      <c r="F29" s="157"/>
      <c r="G29" s="325">
        <v>5141.78</v>
      </c>
      <c r="H29" s="325"/>
      <c r="I29" s="157">
        <f>ROUND((C29*(D29+H29))*3,0)</f>
        <v>581141</v>
      </c>
      <c r="J29" s="157"/>
      <c r="K29" s="157"/>
      <c r="L29"/>
      <c r="M29"/>
      <c r="N29"/>
      <c r="O29"/>
      <c r="P29"/>
      <c r="Q29"/>
      <c r="R29"/>
      <c r="S29"/>
      <c r="T29"/>
      <c r="U29"/>
    </row>
    <row r="30" spans="1:21">
      <c r="A30" s="117">
        <v>2</v>
      </c>
      <c r="B30" s="113" t="s">
        <v>303</v>
      </c>
      <c r="C30" s="118">
        <v>62.2</v>
      </c>
      <c r="D30" s="157">
        <f t="shared" ref="D30:D31" si="3">E30+F30+G30</f>
        <v>21907.154200000001</v>
      </c>
      <c r="E30" s="326">
        <f>(18770.02)*1.03</f>
        <v>19333.120600000002</v>
      </c>
      <c r="F30" s="326">
        <v>309.75</v>
      </c>
      <c r="G30" s="157">
        <v>2264.2836000000002</v>
      </c>
      <c r="H30" s="157"/>
      <c r="I30" s="157">
        <f>ROUND((C30*(D30+H30))*3,0)</f>
        <v>4087875</v>
      </c>
      <c r="J30" s="157"/>
      <c r="K30" s="157"/>
      <c r="L30"/>
      <c r="M30"/>
      <c r="N30"/>
      <c r="O30"/>
      <c r="P30"/>
      <c r="Q30"/>
      <c r="R30"/>
      <c r="S30"/>
      <c r="T30"/>
      <c r="U30"/>
    </row>
    <row r="31" spans="1:21">
      <c r="A31" s="117">
        <v>3</v>
      </c>
      <c r="B31" s="113" t="s">
        <v>304</v>
      </c>
      <c r="C31" s="118">
        <v>40</v>
      </c>
      <c r="D31" s="157">
        <f t="shared" si="3"/>
        <v>13069.55</v>
      </c>
      <c r="E31" s="157">
        <f>(12130*1.03)</f>
        <v>12493.9</v>
      </c>
      <c r="F31" s="157">
        <v>58.42</v>
      </c>
      <c r="G31" s="157">
        <v>517.23</v>
      </c>
      <c r="H31" s="157"/>
      <c r="I31" s="157">
        <f>ROUND((C31*(D31+H31))*3,0)</f>
        <v>1568346</v>
      </c>
      <c r="J31" s="157"/>
      <c r="K31" s="157"/>
      <c r="L31"/>
      <c r="M31"/>
      <c r="N31"/>
      <c r="O31"/>
      <c r="P31"/>
      <c r="Q31"/>
      <c r="R31"/>
      <c r="S31"/>
      <c r="T31"/>
      <c r="U31"/>
    </row>
    <row r="32" spans="1:21" ht="72" customHeight="1">
      <c r="A32" s="117"/>
      <c r="B32" s="113" t="s">
        <v>546</v>
      </c>
      <c r="C32" s="118"/>
      <c r="D32" s="157">
        <v>186465</v>
      </c>
      <c r="E32" s="157"/>
      <c r="F32" s="157"/>
      <c r="G32" s="157"/>
      <c r="H32" s="157"/>
      <c r="I32" s="157">
        <v>-186465</v>
      </c>
      <c r="J32" s="157"/>
      <c r="K32" s="157"/>
      <c r="L32"/>
      <c r="M32"/>
      <c r="N32"/>
      <c r="O32"/>
      <c r="P32"/>
      <c r="Q32"/>
      <c r="R32"/>
      <c r="S32"/>
      <c r="T32"/>
      <c r="U32"/>
    </row>
    <row r="33" spans="1:21" s="156" customFormat="1">
      <c r="A33" s="154" t="s">
        <v>215</v>
      </c>
      <c r="B33" s="155"/>
      <c r="C33" s="155"/>
      <c r="D33" s="158"/>
      <c r="E33" s="158"/>
      <c r="F33" s="158"/>
      <c r="G33" s="158"/>
      <c r="H33" s="158"/>
      <c r="I33" s="158">
        <f>SUM(I17:I32)</f>
        <v>24613841.164000001</v>
      </c>
      <c r="J33" s="158">
        <f>SUM(J16:J32)</f>
        <v>25892163</v>
      </c>
      <c r="K33" s="158">
        <f>SUM(K16:K32)</f>
        <v>26969527</v>
      </c>
      <c r="L33"/>
      <c r="M33"/>
      <c r="N33"/>
      <c r="O33"/>
      <c r="P33"/>
      <c r="Q33"/>
      <c r="R33"/>
      <c r="S33"/>
      <c r="T33"/>
      <c r="U33"/>
    </row>
    <row r="34" spans="1:21">
      <c r="L34"/>
      <c r="M34"/>
      <c r="N34"/>
      <c r="O34"/>
      <c r="P34"/>
      <c r="Q34"/>
      <c r="R34"/>
      <c r="S34"/>
      <c r="T34"/>
      <c r="U34"/>
    </row>
    <row r="35" spans="1:21" s="66" customFormat="1" hidden="1">
      <c r="A35" s="66" t="s">
        <v>216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/>
      <c r="M35"/>
      <c r="N35"/>
      <c r="O35"/>
      <c r="P35"/>
      <c r="Q35"/>
      <c r="R35"/>
      <c r="S35"/>
      <c r="T35"/>
      <c r="U35"/>
    </row>
    <row r="36" spans="1:21" hidden="1">
      <c r="L36"/>
      <c r="M36"/>
      <c r="N36"/>
      <c r="O36"/>
      <c r="P36"/>
      <c r="Q36"/>
      <c r="R36"/>
      <c r="S36"/>
      <c r="T36"/>
      <c r="U36"/>
    </row>
    <row r="37" spans="1:21" s="112" customFormat="1" ht="72.75" hidden="1">
      <c r="A37" s="119" t="s">
        <v>217</v>
      </c>
      <c r="B37" s="113" t="s">
        <v>218</v>
      </c>
      <c r="C37" s="113" t="s">
        <v>219</v>
      </c>
      <c r="D37" s="113" t="s">
        <v>220</v>
      </c>
      <c r="E37" s="113" t="s">
        <v>221</v>
      </c>
      <c r="F37" s="113" t="s">
        <v>222</v>
      </c>
      <c r="G37" s="113" t="s">
        <v>222</v>
      </c>
      <c r="H37" s="113" t="s">
        <v>222</v>
      </c>
      <c r="I37" s="120"/>
      <c r="J37" s="120"/>
      <c r="K37" s="120"/>
      <c r="L37"/>
      <c r="M37"/>
      <c r="N37"/>
      <c r="O37"/>
      <c r="P37"/>
      <c r="Q37"/>
      <c r="R37"/>
      <c r="S37"/>
      <c r="T37"/>
      <c r="U37"/>
    </row>
    <row r="38" spans="1:21" s="116" customFormat="1" hidden="1">
      <c r="A38" s="115">
        <v>1</v>
      </c>
      <c r="B38" s="115">
        <v>2</v>
      </c>
      <c r="C38" s="115">
        <v>3</v>
      </c>
      <c r="D38" s="115">
        <v>4</v>
      </c>
      <c r="E38" s="115">
        <v>5</v>
      </c>
      <c r="F38" s="115">
        <v>6</v>
      </c>
      <c r="G38" s="115">
        <v>7</v>
      </c>
      <c r="H38" s="115">
        <v>8</v>
      </c>
      <c r="L38"/>
      <c r="M38"/>
      <c r="N38"/>
      <c r="O38"/>
      <c r="P38"/>
      <c r="Q38"/>
      <c r="R38"/>
      <c r="S38"/>
      <c r="T38"/>
      <c r="U38"/>
    </row>
    <row r="39" spans="1:21" hidden="1">
      <c r="A39" s="117"/>
      <c r="B39" s="118"/>
      <c r="C39" s="118"/>
      <c r="D39" s="118"/>
      <c r="E39" s="118"/>
      <c r="F39" s="118"/>
      <c r="G39" s="118"/>
      <c r="H39" s="118"/>
      <c r="L39"/>
      <c r="M39"/>
      <c r="N39"/>
      <c r="O39"/>
      <c r="P39"/>
      <c r="Q39"/>
      <c r="R39"/>
      <c r="S39"/>
      <c r="T39"/>
      <c r="U39"/>
    </row>
    <row r="40" spans="1:21" hidden="1">
      <c r="A40" s="117"/>
      <c r="B40" s="118"/>
      <c r="C40" s="118"/>
      <c r="D40" s="118"/>
      <c r="E40" s="118"/>
      <c r="F40" s="118"/>
      <c r="G40" s="118"/>
      <c r="H40" s="118"/>
      <c r="L40"/>
      <c r="M40"/>
      <c r="N40"/>
      <c r="O40"/>
      <c r="P40"/>
      <c r="Q40"/>
      <c r="R40"/>
      <c r="S40"/>
      <c r="T40"/>
      <c r="U40"/>
    </row>
    <row r="41" spans="1:21" hidden="1">
      <c r="A41" s="117"/>
      <c r="B41" s="118"/>
      <c r="C41" s="118"/>
      <c r="D41" s="118"/>
      <c r="E41" s="118"/>
      <c r="F41" s="118"/>
      <c r="G41" s="118"/>
      <c r="H41" s="118"/>
      <c r="L41"/>
      <c r="M41"/>
      <c r="N41"/>
      <c r="O41"/>
      <c r="P41"/>
      <c r="Q41"/>
      <c r="R41"/>
      <c r="S41"/>
      <c r="T41"/>
      <c r="U41"/>
    </row>
    <row r="42" spans="1:21" hidden="1">
      <c r="A42" s="117"/>
      <c r="B42" s="118"/>
      <c r="C42" s="118"/>
      <c r="D42" s="118"/>
      <c r="E42" s="118"/>
      <c r="F42" s="118"/>
      <c r="G42" s="118"/>
      <c r="H42" s="118"/>
      <c r="L42"/>
      <c r="M42"/>
      <c r="N42"/>
      <c r="O42"/>
      <c r="P42"/>
      <c r="Q42"/>
      <c r="R42"/>
      <c r="S42"/>
      <c r="T42"/>
      <c r="U42"/>
    </row>
    <row r="43" spans="1:21" hidden="1">
      <c r="A43" s="117"/>
      <c r="B43" s="118"/>
      <c r="C43" s="118"/>
      <c r="D43" s="118"/>
      <c r="E43" s="118"/>
      <c r="F43" s="118"/>
      <c r="G43" s="118"/>
      <c r="H43" s="118"/>
      <c r="L43"/>
      <c r="M43"/>
      <c r="N43"/>
      <c r="O43"/>
      <c r="P43"/>
      <c r="Q43"/>
      <c r="R43"/>
      <c r="S43"/>
      <c r="T43"/>
      <c r="U43"/>
    </row>
    <row r="44" spans="1:21" hidden="1">
      <c r="A44" s="117"/>
      <c r="B44" s="118"/>
      <c r="C44" s="118"/>
      <c r="D44" s="118"/>
      <c r="E44" s="118"/>
      <c r="F44" s="118"/>
      <c r="G44" s="118"/>
      <c r="H44" s="118"/>
      <c r="L44"/>
      <c r="M44"/>
      <c r="N44"/>
      <c r="O44"/>
      <c r="P44"/>
      <c r="Q44"/>
      <c r="R44"/>
      <c r="S44"/>
      <c r="T44"/>
      <c r="U44"/>
    </row>
    <row r="45" spans="1:21" hidden="1">
      <c r="A45" s="117"/>
      <c r="B45" s="118"/>
      <c r="C45" s="118"/>
      <c r="D45" s="118"/>
      <c r="E45" s="118"/>
      <c r="F45" s="118"/>
      <c r="G45" s="118"/>
      <c r="H45" s="118"/>
      <c r="L45"/>
      <c r="M45"/>
      <c r="N45"/>
      <c r="O45"/>
      <c r="P45"/>
      <c r="Q45"/>
      <c r="R45"/>
      <c r="S45"/>
      <c r="T45"/>
      <c r="U45"/>
    </row>
    <row r="46" spans="1:21" hidden="1">
      <c r="L46"/>
      <c r="M46"/>
      <c r="N46"/>
      <c r="O46"/>
      <c r="P46"/>
      <c r="Q46"/>
      <c r="R46"/>
      <c r="S46"/>
      <c r="T46"/>
      <c r="U46"/>
    </row>
    <row r="47" spans="1:21" ht="48" customHeight="1">
      <c r="A47" s="674" t="s">
        <v>223</v>
      </c>
      <c r="B47" s="674"/>
      <c r="C47" s="674"/>
      <c r="D47" s="674"/>
      <c r="E47" s="674"/>
      <c r="F47" s="674"/>
      <c r="G47" s="674"/>
      <c r="H47" s="674"/>
      <c r="I47" s="308"/>
      <c r="L47"/>
      <c r="M47"/>
      <c r="N47"/>
      <c r="O47"/>
      <c r="P47"/>
      <c r="Q47"/>
      <c r="R47"/>
      <c r="S47"/>
      <c r="T47"/>
      <c r="U47"/>
    </row>
    <row r="48" spans="1:21">
      <c r="L48"/>
      <c r="M48"/>
      <c r="N48"/>
      <c r="O48"/>
      <c r="P48"/>
      <c r="Q48"/>
      <c r="R48"/>
      <c r="S48"/>
      <c r="T48"/>
      <c r="U48"/>
    </row>
    <row r="49" spans="1:21" ht="48.75">
      <c r="A49" s="119" t="s">
        <v>217</v>
      </c>
      <c r="B49" s="670" t="s">
        <v>224</v>
      </c>
      <c r="C49" s="675"/>
      <c r="D49" s="671"/>
      <c r="E49" s="113" t="s">
        <v>225</v>
      </c>
      <c r="F49" s="113" t="s">
        <v>296</v>
      </c>
      <c r="G49" s="113" t="s">
        <v>297</v>
      </c>
      <c r="H49" s="113" t="s">
        <v>298</v>
      </c>
      <c r="L49"/>
      <c r="M49"/>
      <c r="N49"/>
      <c r="O49"/>
      <c r="P49"/>
      <c r="Q49"/>
      <c r="R49"/>
      <c r="S49"/>
      <c r="T49"/>
      <c r="U49"/>
    </row>
    <row r="50" spans="1:21">
      <c r="A50" s="115">
        <v>1</v>
      </c>
      <c r="B50" s="672">
        <v>2</v>
      </c>
      <c r="C50" s="676"/>
      <c r="D50" s="673"/>
      <c r="E50" s="115">
        <v>3</v>
      </c>
      <c r="F50" s="115">
        <v>4</v>
      </c>
      <c r="G50" s="115">
        <v>5</v>
      </c>
      <c r="H50" s="115">
        <v>6</v>
      </c>
      <c r="L50"/>
      <c r="M50"/>
      <c r="N50"/>
      <c r="O50"/>
      <c r="P50"/>
      <c r="Q50"/>
      <c r="R50"/>
      <c r="S50"/>
      <c r="T50"/>
      <c r="U50"/>
    </row>
    <row r="51" spans="1:21" ht="25.5" customHeight="1">
      <c r="A51" s="117">
        <v>1</v>
      </c>
      <c r="B51" s="677" t="s">
        <v>226</v>
      </c>
      <c r="C51" s="678"/>
      <c r="D51" s="679"/>
      <c r="E51" s="157"/>
      <c r="F51" s="157">
        <f>F53</f>
        <v>5456067.3560800003</v>
      </c>
      <c r="G51" s="157">
        <f t="shared" ref="G51:H51" si="4">G53</f>
        <v>5696276</v>
      </c>
      <c r="H51" s="157">
        <f t="shared" si="4"/>
        <v>5933296</v>
      </c>
      <c r="L51"/>
      <c r="M51"/>
      <c r="N51"/>
      <c r="O51"/>
      <c r="P51"/>
      <c r="Q51"/>
      <c r="R51"/>
      <c r="S51"/>
      <c r="T51"/>
      <c r="U51"/>
    </row>
    <row r="52" spans="1:21">
      <c r="A52" s="117"/>
      <c r="B52" s="677" t="s">
        <v>29</v>
      </c>
      <c r="C52" s="678"/>
      <c r="D52" s="679"/>
      <c r="E52" s="157"/>
      <c r="F52" s="157"/>
      <c r="G52" s="157"/>
      <c r="H52" s="157"/>
      <c r="L52"/>
      <c r="M52"/>
      <c r="N52"/>
      <c r="O52"/>
      <c r="P52"/>
      <c r="Q52"/>
      <c r="R52"/>
      <c r="S52"/>
      <c r="T52"/>
      <c r="U52"/>
    </row>
    <row r="53" spans="1:21">
      <c r="A53" s="121"/>
      <c r="B53" s="677" t="s">
        <v>227</v>
      </c>
      <c r="C53" s="678"/>
      <c r="D53" s="679"/>
      <c r="E53" s="157">
        <f>I33+186465</f>
        <v>24800306.164000001</v>
      </c>
      <c r="F53" s="157">
        <f>(E53*0.22)</f>
        <v>5456067.3560800003</v>
      </c>
      <c r="G53" s="157">
        <f>ROUND(J33*0.22,0)</f>
        <v>5696276</v>
      </c>
      <c r="H53" s="157">
        <f>ROUND(K33*0.22,0)</f>
        <v>5933296</v>
      </c>
      <c r="L53"/>
      <c r="M53"/>
      <c r="N53"/>
      <c r="O53"/>
      <c r="P53"/>
      <c r="Q53"/>
      <c r="R53"/>
      <c r="S53"/>
      <c r="T53"/>
      <c r="U53"/>
    </row>
    <row r="54" spans="1:21" ht="22.5" customHeight="1">
      <c r="A54" s="117">
        <v>2</v>
      </c>
      <c r="B54" s="677" t="s">
        <v>228</v>
      </c>
      <c r="C54" s="678"/>
      <c r="D54" s="679"/>
      <c r="E54" s="157"/>
      <c r="F54" s="157">
        <f>F55+F56</f>
        <v>768809.4910840001</v>
      </c>
      <c r="G54" s="157">
        <f t="shared" ref="G54:H54" si="5">G55+G56</f>
        <v>802657</v>
      </c>
      <c r="H54" s="157">
        <f t="shared" si="5"/>
        <v>836055</v>
      </c>
      <c r="L54"/>
      <c r="M54"/>
      <c r="N54"/>
      <c r="O54"/>
      <c r="P54"/>
      <c r="Q54"/>
      <c r="R54"/>
      <c r="S54"/>
      <c r="T54"/>
      <c r="U54"/>
    </row>
    <row r="55" spans="1:21" ht="37.5" customHeight="1">
      <c r="A55" s="117"/>
      <c r="B55" s="677" t="s">
        <v>229</v>
      </c>
      <c r="C55" s="678"/>
      <c r="D55" s="679"/>
      <c r="E55" s="157">
        <f>E53</f>
        <v>24800306.164000001</v>
      </c>
      <c r="F55" s="157">
        <f>(E55*0.029)</f>
        <v>719208.87875600008</v>
      </c>
      <c r="G55" s="157">
        <f>ROUND(J33*0.029,0)</f>
        <v>750873</v>
      </c>
      <c r="H55" s="157">
        <f>ROUND(K33*0.029,0)</f>
        <v>782116</v>
      </c>
    </row>
    <row r="56" spans="1:21">
      <c r="A56" s="117"/>
      <c r="B56" s="677" t="s">
        <v>230</v>
      </c>
      <c r="C56" s="678"/>
      <c r="D56" s="679"/>
      <c r="E56" s="157">
        <f>E55</f>
        <v>24800306.164000001</v>
      </c>
      <c r="F56" s="157">
        <f>(E56*0.002)</f>
        <v>49600.612328000003</v>
      </c>
      <c r="G56" s="157">
        <f>ROUND(J33*0.002,0)</f>
        <v>51784</v>
      </c>
      <c r="H56" s="157">
        <f>ROUND(K33*0.002,0)</f>
        <v>53939</v>
      </c>
    </row>
    <row r="57" spans="1:21" ht="24" customHeight="1">
      <c r="A57" s="117">
        <v>3</v>
      </c>
      <c r="B57" s="677" t="s">
        <v>231</v>
      </c>
      <c r="C57" s="678"/>
      <c r="D57" s="679"/>
      <c r="E57" s="157">
        <f>E56</f>
        <v>24800306.164000001</v>
      </c>
      <c r="F57" s="157">
        <f>(E57*0.051)+0.38</f>
        <v>1264815.9943639999</v>
      </c>
      <c r="G57" s="157">
        <f>ROUND(J33*0.051,0)</f>
        <v>1320500</v>
      </c>
      <c r="H57" s="157">
        <f>ROUND(K33*0.051,0)</f>
        <v>1375446</v>
      </c>
    </row>
    <row r="58" spans="1:21" s="156" customFormat="1">
      <c r="A58" s="154"/>
      <c r="B58" s="680" t="s">
        <v>215</v>
      </c>
      <c r="C58" s="680"/>
      <c r="D58" s="680"/>
      <c r="E58" s="158"/>
      <c r="F58" s="158">
        <f>F51+F54+F57</f>
        <v>7489692.8415280003</v>
      </c>
      <c r="G58" s="158">
        <f t="shared" ref="G58:H58" si="6">G51+G54+G57</f>
        <v>7819433</v>
      </c>
      <c r="H58" s="158">
        <f t="shared" si="6"/>
        <v>8144797</v>
      </c>
      <c r="I58" s="159"/>
      <c r="J58" s="159"/>
      <c r="K58" s="159"/>
    </row>
    <row r="60" spans="1:21" s="66" customFormat="1" ht="14.25">
      <c r="A60" s="66" t="s">
        <v>232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</row>
    <row r="62" spans="1:21" ht="24.75">
      <c r="A62" s="119" t="s">
        <v>217</v>
      </c>
      <c r="B62" s="670" t="s">
        <v>0</v>
      </c>
      <c r="C62" s="671"/>
      <c r="D62" s="113" t="s">
        <v>233</v>
      </c>
      <c r="E62" s="113" t="s">
        <v>234</v>
      </c>
      <c r="F62" s="113" t="s">
        <v>299</v>
      </c>
      <c r="G62" s="113" t="s">
        <v>300</v>
      </c>
      <c r="H62" s="113" t="s">
        <v>301</v>
      </c>
    </row>
    <row r="63" spans="1:21">
      <c r="A63" s="115">
        <v>1</v>
      </c>
      <c r="B63" s="672">
        <v>2</v>
      </c>
      <c r="C63" s="673"/>
      <c r="D63" s="115">
        <v>3</v>
      </c>
      <c r="E63" s="115">
        <v>4</v>
      </c>
      <c r="F63" s="115">
        <v>5</v>
      </c>
      <c r="G63" s="115">
        <v>6</v>
      </c>
      <c r="H63" s="115">
        <v>7</v>
      </c>
    </row>
    <row r="64" spans="1:21">
      <c r="A64" s="117">
        <v>1</v>
      </c>
      <c r="B64" s="672" t="s">
        <v>308</v>
      </c>
      <c r="C64" s="673"/>
      <c r="D64" s="118"/>
      <c r="E64" s="118"/>
      <c r="F64" s="157">
        <f>D64*E64</f>
        <v>0</v>
      </c>
      <c r="G64" s="157"/>
      <c r="H64" s="157"/>
    </row>
    <row r="65" spans="1:11">
      <c r="A65" s="117">
        <v>2</v>
      </c>
      <c r="B65" s="672" t="s">
        <v>362</v>
      </c>
      <c r="C65" s="673"/>
      <c r="D65" s="118"/>
      <c r="E65" s="118"/>
      <c r="F65" s="157">
        <v>186465</v>
      </c>
      <c r="G65" s="157"/>
      <c r="H65" s="157"/>
    </row>
    <row r="66" spans="1:11">
      <c r="A66" s="117">
        <v>3</v>
      </c>
      <c r="B66" s="672" t="s">
        <v>544</v>
      </c>
      <c r="C66" s="673"/>
      <c r="D66" s="118"/>
      <c r="E66" s="118"/>
      <c r="F66" s="157">
        <v>40589</v>
      </c>
      <c r="G66" s="157"/>
      <c r="H66" s="157"/>
    </row>
    <row r="67" spans="1:11" ht="60.75" customHeight="1">
      <c r="A67" s="362">
        <v>4</v>
      </c>
      <c r="B67" s="703" t="s">
        <v>545</v>
      </c>
      <c r="C67" s="704"/>
      <c r="D67" s="118"/>
      <c r="E67" s="118"/>
      <c r="F67" s="157">
        <f>70589-36451</f>
        <v>34138</v>
      </c>
      <c r="G67" s="157"/>
      <c r="H67" s="157"/>
    </row>
    <row r="68" spans="1:11" hidden="1">
      <c r="A68" s="117"/>
      <c r="B68" s="672"/>
      <c r="C68" s="673"/>
      <c r="D68" s="118"/>
      <c r="E68" s="118"/>
      <c r="F68" s="157">
        <f t="shared" ref="F68:F69" si="7">D68*E68</f>
        <v>0</v>
      </c>
      <c r="G68" s="157"/>
      <c r="H68" s="157"/>
    </row>
    <row r="69" spans="1:11" hidden="1">
      <c r="A69" s="117"/>
      <c r="B69" s="672"/>
      <c r="C69" s="673"/>
      <c r="D69" s="118"/>
      <c r="E69" s="118"/>
      <c r="F69" s="157">
        <f t="shared" si="7"/>
        <v>0</v>
      </c>
      <c r="G69" s="157"/>
      <c r="H69" s="157"/>
    </row>
    <row r="70" spans="1:11" s="156" customFormat="1">
      <c r="A70" s="154"/>
      <c r="B70" s="681" t="s">
        <v>215</v>
      </c>
      <c r="C70" s="682"/>
      <c r="D70" s="155"/>
      <c r="E70" s="155"/>
      <c r="F70" s="158">
        <f>SUM(F64:F69)</f>
        <v>261192</v>
      </c>
      <c r="G70" s="158">
        <f t="shared" ref="G70:H70" si="8">SUM(G64:G69)</f>
        <v>0</v>
      </c>
      <c r="H70" s="158">
        <f t="shared" si="8"/>
        <v>0</v>
      </c>
      <c r="I70" s="159"/>
      <c r="J70" s="159"/>
      <c r="K70" s="159"/>
    </row>
    <row r="72" spans="1:11" s="66" customFormat="1" ht="14.25" hidden="1">
      <c r="A72" s="66" t="s">
        <v>235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</row>
    <row r="73" spans="1:11" hidden="1"/>
    <row r="74" spans="1:11" ht="72.75" hidden="1">
      <c r="A74" s="119" t="s">
        <v>217</v>
      </c>
      <c r="B74" s="670" t="s">
        <v>236</v>
      </c>
      <c r="C74" s="671"/>
      <c r="D74" s="113" t="s">
        <v>237</v>
      </c>
      <c r="E74" s="113" t="s">
        <v>238</v>
      </c>
      <c r="F74" s="113" t="s">
        <v>311</v>
      </c>
      <c r="G74" s="113" t="s">
        <v>312</v>
      </c>
      <c r="H74" s="113" t="s">
        <v>313</v>
      </c>
    </row>
    <row r="75" spans="1:11" hidden="1">
      <c r="A75" s="115">
        <v>1</v>
      </c>
      <c r="B75" s="672">
        <v>2</v>
      </c>
      <c r="C75" s="673"/>
      <c r="D75" s="115">
        <v>3</v>
      </c>
      <c r="E75" s="115">
        <v>4</v>
      </c>
      <c r="F75" s="115">
        <v>5</v>
      </c>
      <c r="G75" s="115">
        <v>6</v>
      </c>
      <c r="H75" s="115">
        <v>7</v>
      </c>
    </row>
    <row r="76" spans="1:11" hidden="1">
      <c r="A76" s="117">
        <v>1</v>
      </c>
      <c r="B76" s="684" t="s">
        <v>309</v>
      </c>
      <c r="C76" s="685"/>
      <c r="D76" s="118"/>
      <c r="E76" s="160"/>
      <c r="F76" s="157"/>
      <c r="G76" s="157"/>
      <c r="H76" s="157"/>
    </row>
    <row r="77" spans="1:11" hidden="1">
      <c r="A77" s="117">
        <v>2</v>
      </c>
      <c r="B77" s="684" t="s">
        <v>310</v>
      </c>
      <c r="C77" s="685"/>
      <c r="D77" s="118"/>
      <c r="E77" s="160"/>
      <c r="F77" s="157"/>
      <c r="G77" s="157"/>
      <c r="H77" s="157"/>
    </row>
    <row r="78" spans="1:11" s="156" customFormat="1" hidden="1">
      <c r="A78" s="154"/>
      <c r="B78" s="681" t="s">
        <v>215</v>
      </c>
      <c r="C78" s="682"/>
      <c r="D78" s="155"/>
      <c r="E78" s="155"/>
      <c r="F78" s="158">
        <f>SUM(F76:F77)</f>
        <v>0</v>
      </c>
      <c r="G78" s="158">
        <f>SUM(G76:G77)</f>
        <v>0</v>
      </c>
      <c r="H78" s="158">
        <f>SUM(H76:H77)</f>
        <v>0</v>
      </c>
      <c r="I78" s="159"/>
      <c r="J78" s="159"/>
      <c r="K78" s="159"/>
    </row>
    <row r="79" spans="1:11" hidden="1"/>
    <row r="80" spans="1:11" hidden="1">
      <c r="A80" s="683" t="s">
        <v>239</v>
      </c>
      <c r="B80" s="683"/>
      <c r="C80" s="683"/>
      <c r="D80" s="683"/>
      <c r="E80" s="683"/>
      <c r="F80" s="683"/>
      <c r="G80" s="683"/>
      <c r="H80" s="683"/>
    </row>
    <row r="81" spans="1:11" hidden="1"/>
    <row r="82" spans="1:11" ht="36.75" hidden="1">
      <c r="A82" s="119" t="s">
        <v>217</v>
      </c>
      <c r="B82" s="670" t="s">
        <v>0</v>
      </c>
      <c r="C82" s="671"/>
      <c r="D82" s="113" t="s">
        <v>240</v>
      </c>
      <c r="E82" s="113" t="s">
        <v>234</v>
      </c>
      <c r="F82" s="113" t="s">
        <v>241</v>
      </c>
      <c r="G82" s="113" t="s">
        <v>241</v>
      </c>
      <c r="H82" s="113" t="s">
        <v>241</v>
      </c>
    </row>
    <row r="83" spans="1:11" hidden="1">
      <c r="A83" s="115">
        <v>1</v>
      </c>
      <c r="B83" s="672">
        <v>2</v>
      </c>
      <c r="C83" s="673"/>
      <c r="D83" s="115">
        <v>3</v>
      </c>
      <c r="E83" s="115">
        <v>4</v>
      </c>
      <c r="F83" s="115">
        <v>5</v>
      </c>
      <c r="G83" s="115">
        <v>6</v>
      </c>
      <c r="H83" s="115">
        <v>7</v>
      </c>
    </row>
    <row r="84" spans="1:11" hidden="1">
      <c r="A84" s="117"/>
      <c r="B84" s="672"/>
      <c r="C84" s="673"/>
      <c r="D84" s="118"/>
      <c r="E84" s="118"/>
      <c r="F84" s="118"/>
      <c r="G84" s="118"/>
      <c r="H84" s="118"/>
    </row>
    <row r="85" spans="1:11" hidden="1">
      <c r="A85" s="117"/>
      <c r="B85" s="672"/>
      <c r="C85" s="673"/>
      <c r="D85" s="118"/>
      <c r="E85" s="118"/>
      <c r="F85" s="118"/>
      <c r="G85" s="118"/>
      <c r="H85" s="118"/>
    </row>
    <row r="86" spans="1:11" hidden="1">
      <c r="A86" s="117"/>
      <c r="B86" s="672"/>
      <c r="C86" s="673"/>
      <c r="D86" s="118"/>
      <c r="E86" s="118"/>
      <c r="F86" s="118"/>
      <c r="G86" s="118"/>
      <c r="H86" s="118"/>
    </row>
    <row r="87" spans="1:11" hidden="1">
      <c r="A87" s="117"/>
      <c r="B87" s="672"/>
      <c r="C87" s="673"/>
      <c r="D87" s="118"/>
      <c r="E87" s="118"/>
      <c r="F87" s="118"/>
      <c r="G87" s="118"/>
      <c r="H87" s="118"/>
    </row>
    <row r="88" spans="1:11" hidden="1">
      <c r="A88" s="117"/>
      <c r="B88" s="672"/>
      <c r="C88" s="673"/>
      <c r="D88" s="118"/>
      <c r="E88" s="118"/>
      <c r="F88" s="118"/>
      <c r="G88" s="118"/>
      <c r="H88" s="118"/>
    </row>
    <row r="89" spans="1:11" hidden="1">
      <c r="A89" s="117"/>
      <c r="B89" s="672"/>
      <c r="C89" s="673"/>
      <c r="D89" s="118"/>
      <c r="E89" s="118"/>
      <c r="F89" s="118"/>
      <c r="G89" s="118"/>
      <c r="H89" s="118"/>
    </row>
    <row r="90" spans="1:11" hidden="1">
      <c r="A90" s="117"/>
      <c r="B90" s="672" t="s">
        <v>215</v>
      </c>
      <c r="C90" s="673"/>
      <c r="D90" s="118"/>
      <c r="E90" s="118"/>
      <c r="F90" s="118"/>
      <c r="G90" s="118"/>
      <c r="H90" s="118"/>
    </row>
    <row r="92" spans="1:11" s="66" customFormat="1" ht="14.25">
      <c r="A92" s="66" t="s">
        <v>242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1:11" s="66" customFormat="1" ht="14.25" hidden="1">
      <c r="A93" s="66" t="s">
        <v>243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4" spans="1:11" hidden="1"/>
    <row r="95" spans="1:11" ht="24.75" hidden="1">
      <c r="A95" s="119" t="s">
        <v>217</v>
      </c>
      <c r="B95" s="670"/>
      <c r="C95" s="671"/>
      <c r="D95" s="113" t="s">
        <v>244</v>
      </c>
      <c r="E95" s="113" t="s">
        <v>245</v>
      </c>
      <c r="F95" s="113" t="s">
        <v>246</v>
      </c>
      <c r="G95" s="113" t="s">
        <v>299</v>
      </c>
      <c r="H95" s="113" t="s">
        <v>300</v>
      </c>
      <c r="I95" s="113" t="s">
        <v>301</v>
      </c>
    </row>
    <row r="96" spans="1:11" hidden="1">
      <c r="A96" s="115">
        <v>1</v>
      </c>
      <c r="B96" s="672">
        <v>2</v>
      </c>
      <c r="C96" s="673"/>
      <c r="D96" s="115">
        <v>3</v>
      </c>
      <c r="E96" s="115">
        <v>4</v>
      </c>
      <c r="F96" s="115">
        <v>5</v>
      </c>
      <c r="G96" s="115">
        <v>6</v>
      </c>
      <c r="H96" s="115">
        <v>7</v>
      </c>
      <c r="I96" s="115">
        <v>8</v>
      </c>
    </row>
    <row r="97" spans="1:11" hidden="1">
      <c r="A97" s="117"/>
      <c r="B97" s="684" t="s">
        <v>430</v>
      </c>
      <c r="C97" s="685"/>
      <c r="D97" s="118"/>
      <c r="E97" s="118"/>
      <c r="F97" s="118"/>
      <c r="G97" s="157"/>
      <c r="H97" s="157"/>
      <c r="I97" s="157"/>
    </row>
    <row r="98" spans="1:11" hidden="1">
      <c r="A98" s="117"/>
      <c r="B98" s="296" t="s">
        <v>316</v>
      </c>
      <c r="C98" s="297"/>
      <c r="D98" s="118"/>
      <c r="E98" s="118"/>
      <c r="F98" s="306"/>
      <c r="G98" s="157"/>
      <c r="H98" s="157"/>
      <c r="I98" s="157"/>
    </row>
    <row r="99" spans="1:11" hidden="1">
      <c r="A99" s="117"/>
      <c r="B99" s="296" t="s">
        <v>317</v>
      </c>
      <c r="C99" s="297"/>
      <c r="D99" s="118"/>
      <c r="E99" s="118"/>
      <c r="F99" s="118"/>
      <c r="G99" s="157"/>
      <c r="H99" s="157"/>
      <c r="I99" s="157"/>
    </row>
    <row r="100" spans="1:11" hidden="1">
      <c r="A100" s="117"/>
      <c r="B100" s="672"/>
      <c r="C100" s="673"/>
      <c r="D100" s="118"/>
      <c r="E100" s="118"/>
      <c r="F100" s="118"/>
      <c r="G100" s="157"/>
      <c r="H100" s="157"/>
      <c r="I100" s="157"/>
    </row>
    <row r="101" spans="1:11" hidden="1">
      <c r="A101" s="117"/>
      <c r="B101" s="672"/>
      <c r="C101" s="673"/>
      <c r="D101" s="118"/>
      <c r="E101" s="118"/>
      <c r="F101" s="118"/>
      <c r="G101" s="157"/>
      <c r="H101" s="157"/>
      <c r="I101" s="157"/>
    </row>
    <row r="102" spans="1:11" s="156" customFormat="1" hidden="1">
      <c r="A102" s="154"/>
      <c r="B102" s="681" t="s">
        <v>215</v>
      </c>
      <c r="C102" s="682"/>
      <c r="D102" s="155"/>
      <c r="E102" s="155"/>
      <c r="F102" s="155"/>
      <c r="G102" s="158">
        <f>ROUND(SUM(G97:G101),0)</f>
        <v>0</v>
      </c>
      <c r="H102" s="158">
        <f>ROUND(SUM(H97:H101),0)</f>
        <v>0</v>
      </c>
      <c r="I102" s="158">
        <f>ROUND(SUM(I97:I101),0)</f>
        <v>0</v>
      </c>
      <c r="J102" s="159"/>
      <c r="K102" s="159"/>
    </row>
    <row r="103" spans="1:11" hidden="1"/>
    <row r="104" spans="1:11" s="66" customFormat="1" ht="14.25" hidden="1">
      <c r="A104" s="66" t="s">
        <v>247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</row>
    <row r="105" spans="1:11" hidden="1"/>
    <row r="106" spans="1:11" ht="36.75" hidden="1">
      <c r="A106" s="119" t="s">
        <v>217</v>
      </c>
      <c r="B106" s="670" t="s">
        <v>236</v>
      </c>
      <c r="C106" s="671"/>
      <c r="D106" s="113" t="s">
        <v>248</v>
      </c>
      <c r="E106" s="113" t="s">
        <v>249</v>
      </c>
      <c r="F106" s="113" t="s">
        <v>299</v>
      </c>
      <c r="G106" s="113" t="s">
        <v>300</v>
      </c>
      <c r="H106" s="113" t="s">
        <v>301</v>
      </c>
    </row>
    <row r="107" spans="1:11" hidden="1">
      <c r="A107" s="115">
        <v>1</v>
      </c>
      <c r="B107" s="672">
        <v>2</v>
      </c>
      <c r="C107" s="673"/>
      <c r="D107" s="115">
        <v>3</v>
      </c>
      <c r="E107" s="115">
        <v>4</v>
      </c>
      <c r="F107" s="115">
        <v>5</v>
      </c>
      <c r="G107" s="115">
        <v>6</v>
      </c>
      <c r="H107" s="115">
        <v>7</v>
      </c>
    </row>
    <row r="108" spans="1:11" hidden="1">
      <c r="A108" s="117">
        <v>1</v>
      </c>
      <c r="B108" s="672" t="s">
        <v>353</v>
      </c>
      <c r="C108" s="673"/>
      <c r="D108" s="118"/>
      <c r="E108" s="118"/>
      <c r="F108" s="118">
        <f>D108*E108</f>
        <v>0</v>
      </c>
      <c r="G108" s="118"/>
      <c r="H108" s="118"/>
    </row>
    <row r="109" spans="1:11" hidden="1">
      <c r="A109" s="117"/>
      <c r="B109" s="672"/>
      <c r="C109" s="673"/>
      <c r="D109" s="118"/>
      <c r="E109" s="118"/>
      <c r="F109" s="118">
        <f t="shared" ref="F109:F113" si="9">D109*E109</f>
        <v>0</v>
      </c>
      <c r="G109" s="118"/>
      <c r="H109" s="118"/>
    </row>
    <row r="110" spans="1:11" hidden="1">
      <c r="A110" s="117"/>
      <c r="B110" s="672"/>
      <c r="C110" s="673"/>
      <c r="D110" s="118"/>
      <c r="E110" s="118"/>
      <c r="F110" s="118">
        <f t="shared" si="9"/>
        <v>0</v>
      </c>
      <c r="G110" s="118"/>
      <c r="H110" s="118"/>
    </row>
    <row r="111" spans="1:11" hidden="1">
      <c r="A111" s="117"/>
      <c r="B111" s="672"/>
      <c r="C111" s="673"/>
      <c r="D111" s="118"/>
      <c r="E111" s="118"/>
      <c r="F111" s="118">
        <f t="shared" si="9"/>
        <v>0</v>
      </c>
      <c r="G111" s="118"/>
      <c r="H111" s="118"/>
    </row>
    <row r="112" spans="1:11" hidden="1">
      <c r="A112" s="117"/>
      <c r="B112" s="672"/>
      <c r="C112" s="673"/>
      <c r="D112" s="118"/>
      <c r="E112" s="118"/>
      <c r="F112" s="118">
        <f t="shared" si="9"/>
        <v>0</v>
      </c>
      <c r="G112" s="118"/>
      <c r="H112" s="118"/>
    </row>
    <row r="113" spans="1:11" hidden="1">
      <c r="A113" s="117"/>
      <c r="B113" s="672"/>
      <c r="C113" s="673"/>
      <c r="D113" s="118"/>
      <c r="E113" s="118"/>
      <c r="F113" s="118">
        <f t="shared" si="9"/>
        <v>0</v>
      </c>
      <c r="G113" s="118"/>
      <c r="H113" s="118"/>
    </row>
    <row r="114" spans="1:11" s="156" customFormat="1" hidden="1">
      <c r="A114" s="154"/>
      <c r="B114" s="681" t="s">
        <v>215</v>
      </c>
      <c r="C114" s="682"/>
      <c r="D114" s="155"/>
      <c r="E114" s="155"/>
      <c r="F114" s="155">
        <f>SUM(F108:F113)</f>
        <v>0</v>
      </c>
      <c r="G114" s="155">
        <f t="shared" ref="G114:H114" si="10">SUM(G108:G113)</f>
        <v>0</v>
      </c>
      <c r="H114" s="155">
        <f t="shared" si="10"/>
        <v>0</v>
      </c>
      <c r="I114" s="159"/>
      <c r="J114" s="159"/>
      <c r="K114" s="159"/>
    </row>
    <row r="115" spans="1:11" hidden="1"/>
    <row r="116" spans="1:11" s="66" customFormat="1" ht="14.25" hidden="1">
      <c r="A116" s="66" t="s">
        <v>250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</row>
    <row r="117" spans="1:11" hidden="1"/>
    <row r="118" spans="1:11" ht="36.75" hidden="1">
      <c r="A118" s="119" t="s">
        <v>217</v>
      </c>
      <c r="B118" s="670" t="s">
        <v>0</v>
      </c>
      <c r="C118" s="671"/>
      <c r="D118" s="113" t="s">
        <v>251</v>
      </c>
      <c r="E118" s="113" t="s">
        <v>252</v>
      </c>
      <c r="F118" s="113" t="s">
        <v>253</v>
      </c>
      <c r="G118" s="113" t="s">
        <v>299</v>
      </c>
      <c r="H118" s="113" t="s">
        <v>300</v>
      </c>
      <c r="I118" s="113" t="s">
        <v>301</v>
      </c>
    </row>
    <row r="119" spans="1:11" hidden="1">
      <c r="A119" s="115">
        <v>1</v>
      </c>
      <c r="B119" s="672">
        <v>2</v>
      </c>
      <c r="C119" s="673"/>
      <c r="D119" s="115">
        <v>3</v>
      </c>
      <c r="E119" s="115">
        <v>4</v>
      </c>
      <c r="F119" s="115">
        <v>5</v>
      </c>
      <c r="G119" s="115">
        <v>6</v>
      </c>
      <c r="H119" s="115">
        <v>7</v>
      </c>
      <c r="I119" s="115">
        <v>8</v>
      </c>
    </row>
    <row r="120" spans="1:11" hidden="1">
      <c r="A120" s="115">
        <v>1</v>
      </c>
      <c r="B120" s="686" t="s">
        <v>431</v>
      </c>
      <c r="C120" s="687"/>
      <c r="D120" s="157"/>
      <c r="E120" s="157"/>
      <c r="F120" s="157"/>
      <c r="G120" s="157"/>
      <c r="H120" s="157"/>
      <c r="I120" s="157"/>
    </row>
    <row r="121" spans="1:11" hidden="1">
      <c r="A121" s="115"/>
      <c r="B121" s="684"/>
      <c r="C121" s="685"/>
      <c r="D121" s="157"/>
      <c r="E121" s="157"/>
      <c r="F121" s="157"/>
      <c r="G121" s="157"/>
      <c r="H121" s="157"/>
      <c r="I121" s="157"/>
    </row>
    <row r="122" spans="1:11" hidden="1">
      <c r="A122" s="115">
        <v>2</v>
      </c>
      <c r="B122" s="688" t="s">
        <v>432</v>
      </c>
      <c r="C122" s="689"/>
      <c r="D122" s="157"/>
      <c r="E122" s="157"/>
      <c r="F122" s="157"/>
      <c r="G122" s="157"/>
      <c r="H122" s="157"/>
      <c r="I122" s="157"/>
    </row>
    <row r="123" spans="1:11" hidden="1">
      <c r="A123" s="115"/>
      <c r="B123" s="684"/>
      <c r="C123" s="685"/>
      <c r="D123" s="157"/>
      <c r="E123" s="157"/>
      <c r="F123" s="157"/>
      <c r="G123" s="157"/>
      <c r="H123" s="157"/>
      <c r="I123" s="157"/>
    </row>
    <row r="124" spans="1:11" hidden="1">
      <c r="A124" s="115">
        <v>3</v>
      </c>
      <c r="B124" s="688" t="s">
        <v>433</v>
      </c>
      <c r="C124" s="689"/>
      <c r="D124" s="157"/>
      <c r="E124" s="157"/>
      <c r="F124" s="157"/>
      <c r="G124" s="157"/>
      <c r="H124" s="157"/>
      <c r="I124" s="157"/>
    </row>
    <row r="125" spans="1:11" hidden="1">
      <c r="A125" s="115"/>
      <c r="B125" s="296"/>
      <c r="C125" s="297"/>
      <c r="D125" s="157"/>
      <c r="E125" s="157"/>
      <c r="F125" s="157"/>
      <c r="G125" s="157"/>
      <c r="H125" s="157"/>
      <c r="I125" s="157"/>
    </row>
    <row r="126" spans="1:11" hidden="1">
      <c r="A126" s="115"/>
      <c r="B126" s="296"/>
      <c r="C126" s="297"/>
      <c r="D126" s="157"/>
      <c r="E126" s="157"/>
      <c r="F126" s="157"/>
      <c r="G126" s="157"/>
      <c r="H126" s="157"/>
      <c r="I126" s="157"/>
    </row>
    <row r="127" spans="1:11" hidden="1">
      <c r="A127" s="115"/>
      <c r="B127" s="296"/>
      <c r="C127" s="297"/>
      <c r="D127" s="157"/>
      <c r="E127" s="157"/>
      <c r="F127" s="157"/>
      <c r="G127" s="157"/>
      <c r="H127" s="157"/>
      <c r="I127" s="157"/>
    </row>
    <row r="128" spans="1:11" hidden="1">
      <c r="A128" s="115">
        <v>4</v>
      </c>
      <c r="B128" s="684" t="s">
        <v>434</v>
      </c>
      <c r="C128" s="685"/>
      <c r="D128" s="157"/>
      <c r="E128" s="157"/>
      <c r="F128" s="157"/>
      <c r="G128" s="157"/>
      <c r="H128" s="157"/>
      <c r="I128" s="157"/>
    </row>
    <row r="129" spans="1:12" hidden="1">
      <c r="A129" s="115"/>
      <c r="B129" s="294"/>
      <c r="C129" s="295"/>
      <c r="D129" s="157"/>
      <c r="E129" s="157"/>
      <c r="F129" s="157"/>
      <c r="G129" s="157"/>
      <c r="H129" s="157"/>
      <c r="I129" s="157"/>
    </row>
    <row r="130" spans="1:12" hidden="1">
      <c r="A130" s="115"/>
      <c r="B130" s="294"/>
      <c r="C130" s="295"/>
      <c r="D130" s="157"/>
      <c r="E130" s="157"/>
      <c r="F130" s="157"/>
      <c r="G130" s="157"/>
      <c r="H130" s="157"/>
      <c r="I130" s="157"/>
    </row>
    <row r="131" spans="1:12" hidden="1">
      <c r="A131" s="115"/>
      <c r="B131" s="672"/>
      <c r="C131" s="673"/>
      <c r="D131" s="157"/>
      <c r="E131" s="157"/>
      <c r="F131" s="157"/>
      <c r="G131" s="157"/>
      <c r="H131" s="157"/>
      <c r="I131" s="157"/>
    </row>
    <row r="132" spans="1:12" hidden="1">
      <c r="A132" s="115">
        <v>5</v>
      </c>
      <c r="B132" s="688" t="s">
        <v>435</v>
      </c>
      <c r="C132" s="689"/>
      <c r="D132" s="157"/>
      <c r="E132" s="157"/>
      <c r="F132" s="157"/>
      <c r="G132" s="157"/>
      <c r="H132" s="157"/>
      <c r="I132" s="157"/>
    </row>
    <row r="133" spans="1:12" s="156" customFormat="1" hidden="1">
      <c r="A133" s="154"/>
      <c r="B133" s="681" t="s">
        <v>215</v>
      </c>
      <c r="C133" s="682"/>
      <c r="D133" s="158"/>
      <c r="E133" s="158"/>
      <c r="F133" s="158"/>
      <c r="G133" s="158">
        <f>SUM(G120:G132)</f>
        <v>0</v>
      </c>
      <c r="H133" s="158">
        <f>SUM(H120:H132)</f>
        <v>0</v>
      </c>
      <c r="I133" s="158">
        <f>SUM(I120:I132)</f>
        <v>0</v>
      </c>
      <c r="J133" s="159"/>
      <c r="K133" s="159"/>
      <c r="L133" s="156">
        <v>3505080</v>
      </c>
    </row>
    <row r="134" spans="1:12" hidden="1">
      <c r="L134" s="307">
        <f>L133-G133</f>
        <v>3505080</v>
      </c>
    </row>
    <row r="135" spans="1:12" s="66" customFormat="1" ht="14.25" hidden="1">
      <c r="A135" s="66" t="s">
        <v>254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</row>
    <row r="136" spans="1:12" hidden="1"/>
    <row r="137" spans="1:12" ht="48.75" hidden="1">
      <c r="A137" s="119" t="s">
        <v>217</v>
      </c>
      <c r="B137" s="670" t="s">
        <v>0</v>
      </c>
      <c r="C137" s="671"/>
      <c r="D137" s="113" t="s">
        <v>255</v>
      </c>
      <c r="E137" s="113" t="s">
        <v>256</v>
      </c>
      <c r="F137" s="113" t="s">
        <v>257</v>
      </c>
      <c r="G137" s="113" t="s">
        <v>257</v>
      </c>
      <c r="H137" s="113"/>
    </row>
    <row r="138" spans="1:12" hidden="1">
      <c r="A138" s="115">
        <v>1</v>
      </c>
      <c r="B138" s="672">
        <v>2</v>
      </c>
      <c r="C138" s="673"/>
      <c r="D138" s="115">
        <v>3</v>
      </c>
      <c r="E138" s="115">
        <v>4</v>
      </c>
      <c r="F138" s="115">
        <v>5</v>
      </c>
      <c r="G138" s="115">
        <v>6</v>
      </c>
      <c r="H138" s="115"/>
    </row>
    <row r="139" spans="1:12" hidden="1">
      <c r="A139" s="117"/>
      <c r="B139" s="672"/>
      <c r="C139" s="673"/>
      <c r="D139" s="118"/>
      <c r="E139" s="118"/>
      <c r="F139" s="118"/>
      <c r="G139" s="118"/>
      <c r="H139" s="118"/>
    </row>
    <row r="140" spans="1:12" hidden="1">
      <c r="A140" s="117"/>
      <c r="B140" s="672"/>
      <c r="C140" s="673"/>
      <c r="D140" s="118"/>
      <c r="E140" s="118"/>
      <c r="F140" s="118"/>
      <c r="G140" s="118"/>
      <c r="H140" s="118"/>
    </row>
    <row r="141" spans="1:12" hidden="1">
      <c r="A141" s="117"/>
      <c r="B141" s="672"/>
      <c r="C141" s="673"/>
      <c r="D141" s="118"/>
      <c r="E141" s="118"/>
      <c r="F141" s="118"/>
      <c r="G141" s="118"/>
      <c r="H141" s="118"/>
    </row>
    <row r="142" spans="1:12" hidden="1">
      <c r="A142" s="117"/>
      <c r="B142" s="672"/>
      <c r="C142" s="673"/>
      <c r="D142" s="118"/>
      <c r="E142" s="118"/>
      <c r="F142" s="118"/>
      <c r="G142" s="118"/>
      <c r="H142" s="118"/>
    </row>
    <row r="143" spans="1:12" hidden="1">
      <c r="A143" s="117"/>
      <c r="B143" s="672"/>
      <c r="C143" s="673"/>
      <c r="D143" s="118"/>
      <c r="E143" s="118"/>
      <c r="F143" s="118"/>
      <c r="G143" s="118"/>
      <c r="H143" s="118"/>
    </row>
    <row r="144" spans="1:12" hidden="1">
      <c r="A144" s="117"/>
      <c r="B144" s="672"/>
      <c r="C144" s="673"/>
      <c r="D144" s="118"/>
      <c r="E144" s="118"/>
      <c r="F144" s="118"/>
      <c r="G144" s="118"/>
      <c r="H144" s="118"/>
    </row>
    <row r="145" spans="1:11" s="156" customFormat="1" hidden="1">
      <c r="A145" s="154"/>
      <c r="B145" s="681" t="s">
        <v>215</v>
      </c>
      <c r="C145" s="682"/>
      <c r="D145" s="155"/>
      <c r="E145" s="155"/>
      <c r="F145" s="155">
        <f>SUM(F139:F144)</f>
        <v>0</v>
      </c>
      <c r="G145" s="155">
        <f t="shared" ref="G145" si="11">SUM(G139:G144)</f>
        <v>0</v>
      </c>
      <c r="H145" s="155"/>
      <c r="I145" s="159"/>
      <c r="J145" s="159"/>
      <c r="K145" s="159"/>
    </row>
    <row r="146" spans="1:11" hidden="1">
      <c r="H146" s="308"/>
      <c r="I146" s="308"/>
    </row>
    <row r="147" spans="1:11" s="66" customFormat="1" ht="14.25" hidden="1">
      <c r="A147" s="66" t="s">
        <v>258</v>
      </c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</row>
    <row r="148" spans="1:11" hidden="1"/>
    <row r="149" spans="1:11" ht="24.75" hidden="1">
      <c r="A149" s="119" t="s">
        <v>217</v>
      </c>
      <c r="B149" s="670" t="s">
        <v>0</v>
      </c>
      <c r="C149" s="671"/>
      <c r="D149" s="113" t="s">
        <v>259</v>
      </c>
      <c r="E149" s="113" t="s">
        <v>260</v>
      </c>
      <c r="F149" s="113" t="s">
        <v>299</v>
      </c>
      <c r="G149" s="113" t="s">
        <v>300</v>
      </c>
      <c r="H149" s="113" t="s">
        <v>301</v>
      </c>
    </row>
    <row r="150" spans="1:11" hidden="1">
      <c r="A150" s="115">
        <v>1</v>
      </c>
      <c r="B150" s="672">
        <v>2</v>
      </c>
      <c r="C150" s="673"/>
      <c r="D150" s="115">
        <v>3</v>
      </c>
      <c r="E150" s="115">
        <v>4</v>
      </c>
      <c r="F150" s="115">
        <v>5</v>
      </c>
      <c r="G150" s="115">
        <v>6</v>
      </c>
      <c r="H150" s="115">
        <v>7</v>
      </c>
    </row>
    <row r="151" spans="1:11" hidden="1">
      <c r="A151" s="115">
        <v>1</v>
      </c>
      <c r="B151" s="309"/>
      <c r="C151" s="310"/>
      <c r="D151" s="118"/>
      <c r="E151" s="157"/>
      <c r="F151" s="157"/>
      <c r="G151" s="157"/>
      <c r="H151" s="157"/>
    </row>
    <row r="152" spans="1:11" hidden="1">
      <c r="A152" s="115"/>
      <c r="B152" s="684"/>
      <c r="C152" s="685"/>
      <c r="D152" s="118"/>
      <c r="E152" s="157"/>
      <c r="F152" s="157"/>
      <c r="G152" s="157"/>
      <c r="H152" s="157"/>
    </row>
    <row r="153" spans="1:11" hidden="1">
      <c r="A153" s="115">
        <v>2</v>
      </c>
      <c r="B153" s="309"/>
      <c r="C153" s="311"/>
      <c r="D153" s="118"/>
      <c r="E153" s="157"/>
      <c r="F153" s="157"/>
      <c r="G153" s="157"/>
      <c r="H153" s="157"/>
    </row>
    <row r="154" spans="1:11" hidden="1">
      <c r="A154" s="115"/>
      <c r="B154" s="296"/>
      <c r="C154" s="295"/>
      <c r="D154" s="118"/>
      <c r="E154" s="157"/>
      <c r="F154" s="157"/>
      <c r="G154" s="157"/>
      <c r="H154" s="157"/>
    </row>
    <row r="155" spans="1:11" s="156" customFormat="1" hidden="1">
      <c r="A155" s="154"/>
      <c r="B155" s="681" t="s">
        <v>215</v>
      </c>
      <c r="C155" s="682"/>
      <c r="D155" s="155"/>
      <c r="E155" s="155"/>
      <c r="F155" s="158">
        <f>ROUND(SUM(F151:F154),0)</f>
        <v>0</v>
      </c>
      <c r="G155" s="158">
        <f>ROUND(SUM(G151:G154),0)</f>
        <v>0</v>
      </c>
      <c r="H155" s="158">
        <f>ROUND(SUM(H151:H154),0)</f>
        <v>0</v>
      </c>
      <c r="I155" s="159"/>
      <c r="J155" s="159"/>
      <c r="K155" s="159"/>
    </row>
    <row r="157" spans="1:11" s="66" customFormat="1" ht="14.25">
      <c r="A157" s="66" t="s">
        <v>261</v>
      </c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</row>
    <row r="159" spans="1:11" ht="24.75">
      <c r="A159" s="119" t="s">
        <v>217</v>
      </c>
      <c r="B159" s="670" t="s">
        <v>236</v>
      </c>
      <c r="C159" s="671"/>
      <c r="D159" s="113" t="s">
        <v>259</v>
      </c>
      <c r="E159" s="113" t="s">
        <v>260</v>
      </c>
      <c r="F159" s="113" t="s">
        <v>299</v>
      </c>
      <c r="G159" s="113" t="s">
        <v>300</v>
      </c>
      <c r="H159" s="113" t="s">
        <v>301</v>
      </c>
    </row>
    <row r="160" spans="1:11">
      <c r="A160" s="115">
        <v>1</v>
      </c>
      <c r="B160" s="672">
        <v>2</v>
      </c>
      <c r="C160" s="673"/>
      <c r="D160" s="115">
        <v>3</v>
      </c>
      <c r="E160" s="115">
        <v>4</v>
      </c>
      <c r="F160" s="115">
        <v>5</v>
      </c>
      <c r="G160" s="115">
        <v>6</v>
      </c>
      <c r="H160" s="115">
        <v>7</v>
      </c>
    </row>
    <row r="161" spans="1:11">
      <c r="A161" s="117">
        <v>1</v>
      </c>
      <c r="B161" s="318" t="s">
        <v>511</v>
      </c>
      <c r="C161" s="319"/>
      <c r="D161" s="118">
        <v>1</v>
      </c>
      <c r="E161" s="157">
        <v>32564</v>
      </c>
      <c r="F161" s="157">
        <f>E161*D161</f>
        <v>32564</v>
      </c>
      <c r="G161" s="157">
        <v>32564</v>
      </c>
      <c r="H161" s="157">
        <v>32564</v>
      </c>
    </row>
    <row r="162" spans="1:11">
      <c r="A162" s="117"/>
      <c r="B162" s="318" t="s">
        <v>592</v>
      </c>
      <c r="C162" s="319"/>
      <c r="D162" s="118"/>
      <c r="E162" s="157"/>
      <c r="F162" s="157"/>
      <c r="G162" s="157"/>
      <c r="H162" s="157"/>
    </row>
    <row r="163" spans="1:11">
      <c r="A163" s="117"/>
      <c r="B163" s="672" t="s">
        <v>513</v>
      </c>
      <c r="C163" s="673"/>
      <c r="D163" s="118"/>
      <c r="E163" s="157"/>
      <c r="F163" s="157"/>
      <c r="G163" s="157"/>
      <c r="H163" s="157"/>
    </row>
    <row r="164" spans="1:11">
      <c r="A164" s="117"/>
      <c r="B164" s="672" t="s">
        <v>512</v>
      </c>
      <c r="C164" s="673"/>
      <c r="D164" s="118"/>
      <c r="E164" s="157"/>
      <c r="F164" s="157"/>
      <c r="G164" s="157"/>
      <c r="H164" s="157"/>
    </row>
    <row r="165" spans="1:11">
      <c r="A165" s="117"/>
      <c r="B165" s="681" t="s">
        <v>215</v>
      </c>
      <c r="C165" s="682">
        <v>32564</v>
      </c>
      <c r="D165" s="118"/>
      <c r="E165" s="157"/>
      <c r="F165" s="157">
        <v>32564</v>
      </c>
      <c r="G165" s="157">
        <v>32564</v>
      </c>
      <c r="H165" s="157">
        <v>32564</v>
      </c>
    </row>
    <row r="167" spans="1:11" s="66" customFormat="1" ht="14.25">
      <c r="A167" s="66" t="s">
        <v>262</v>
      </c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</row>
    <row r="169" spans="1:11" ht="24.75">
      <c r="A169" s="119" t="s">
        <v>217</v>
      </c>
      <c r="B169" s="670" t="s">
        <v>236</v>
      </c>
      <c r="C169" s="671"/>
      <c r="D169" s="113" t="s">
        <v>255</v>
      </c>
      <c r="E169" s="113" t="s">
        <v>260</v>
      </c>
      <c r="F169" s="113" t="s">
        <v>299</v>
      </c>
      <c r="G169" s="113" t="s">
        <v>300</v>
      </c>
      <c r="H169" s="113" t="s">
        <v>301</v>
      </c>
    </row>
    <row r="170" spans="1:11">
      <c r="A170" s="115">
        <v>1</v>
      </c>
      <c r="B170" s="672">
        <v>2</v>
      </c>
      <c r="C170" s="673"/>
      <c r="D170" s="115">
        <v>3</v>
      </c>
      <c r="E170" s="115">
        <v>4</v>
      </c>
      <c r="F170" s="115">
        <v>5</v>
      </c>
      <c r="G170" s="115">
        <v>6</v>
      </c>
      <c r="H170" s="115">
        <v>7</v>
      </c>
    </row>
    <row r="171" spans="1:11">
      <c r="A171" s="117">
        <v>1</v>
      </c>
      <c r="B171" s="699" t="s">
        <v>514</v>
      </c>
      <c r="C171" s="700"/>
      <c r="D171" s="118">
        <v>1</v>
      </c>
      <c r="E171" s="157">
        <v>111300</v>
      </c>
      <c r="F171" s="157">
        <f>D171*E171</f>
        <v>111300</v>
      </c>
      <c r="G171" s="157">
        <v>159000</v>
      </c>
      <c r="H171" s="157">
        <v>159000</v>
      </c>
    </row>
    <row r="172" spans="1:11">
      <c r="A172" s="121"/>
      <c r="B172" s="699" t="s">
        <v>593</v>
      </c>
      <c r="C172" s="700"/>
      <c r="D172" s="118"/>
      <c r="E172" s="118"/>
      <c r="F172" s="118"/>
      <c r="G172" s="118"/>
      <c r="H172" s="118"/>
    </row>
    <row r="173" spans="1:11">
      <c r="A173" s="121"/>
      <c r="B173" s="387">
        <v>111300</v>
      </c>
      <c r="C173" s="388"/>
      <c r="D173" s="118">
        <v>100</v>
      </c>
      <c r="E173" s="118">
        <v>47700</v>
      </c>
      <c r="F173" s="118">
        <v>47700</v>
      </c>
      <c r="G173" s="118"/>
      <c r="H173" s="118"/>
    </row>
    <row r="174" spans="1:11">
      <c r="A174" s="117">
        <v>2</v>
      </c>
      <c r="B174" s="699" t="s">
        <v>514</v>
      </c>
      <c r="C174" s="700"/>
      <c r="D174" s="118"/>
      <c r="E174" s="118"/>
      <c r="F174" s="118"/>
      <c r="G174" s="118"/>
      <c r="H174" s="118"/>
    </row>
    <row r="175" spans="1:11" s="156" customFormat="1">
      <c r="A175" s="154"/>
      <c r="B175" s="681" t="s">
        <v>215</v>
      </c>
      <c r="C175" s="682"/>
      <c r="D175" s="155"/>
      <c r="E175" s="155"/>
      <c r="F175" s="320">
        <f>SUM(F171:F174)</f>
        <v>159000</v>
      </c>
      <c r="G175" s="320">
        <f>SUM(G171:G172)</f>
        <v>159000</v>
      </c>
      <c r="H175" s="320">
        <f>SUM(H171:H172)</f>
        <v>159000</v>
      </c>
      <c r="I175" s="159"/>
      <c r="J175" s="159"/>
      <c r="K175" s="159"/>
    </row>
    <row r="176" spans="1:11" ht="15.75" thickBot="1"/>
    <row r="177" spans="1:21" ht="15.75" thickBot="1">
      <c r="A177" s="122"/>
      <c r="B177" s="694" t="s">
        <v>263</v>
      </c>
      <c r="C177" s="695"/>
      <c r="D177" s="695"/>
      <c r="E177" s="696"/>
      <c r="F177" s="161">
        <f>I33+F58+F70+F165+F175-0.01</f>
        <v>32556289.995528001</v>
      </c>
      <c r="G177" s="161">
        <f>J33+G58+G165+G175</f>
        <v>33903160</v>
      </c>
      <c r="H177" s="161">
        <f>K33+H58+H165+H175</f>
        <v>35305888</v>
      </c>
    </row>
    <row r="178" spans="1:21">
      <c r="F178" s="356"/>
    </row>
    <row r="179" spans="1:21" s="300" customFormat="1" ht="20.25" customHeight="1">
      <c r="A179" s="697" t="s">
        <v>179</v>
      </c>
      <c r="B179" s="697"/>
      <c r="C179" s="697"/>
      <c r="D179" s="285" t="str">
        <f>[1]закупки!AQ30</f>
        <v>Заведующий</v>
      </c>
      <c r="E179" s="123"/>
      <c r="F179" s="285"/>
      <c r="G179" s="361"/>
      <c r="H179" s="285" t="str">
        <f>[1]закупки!BY30</f>
        <v>Ускова Н.П.</v>
      </c>
      <c r="I179" s="285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4"/>
    </row>
    <row r="180" spans="1:21" s="300" customFormat="1" ht="20.25" customHeight="1">
      <c r="A180" s="697" t="s">
        <v>180</v>
      </c>
      <c r="B180" s="697"/>
      <c r="C180" s="697"/>
      <c r="D180" s="125" t="s">
        <v>264</v>
      </c>
      <c r="E180" s="126"/>
      <c r="F180" s="125" t="s">
        <v>265</v>
      </c>
      <c r="G180" s="126"/>
      <c r="H180" s="299" t="s">
        <v>266</v>
      </c>
      <c r="I180" s="299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4"/>
    </row>
    <row r="181" spans="1:21" s="300" customFormat="1">
      <c r="A181" s="298"/>
    </row>
    <row r="182" spans="1:21" s="300" customFormat="1" ht="30" customHeight="1">
      <c r="A182" s="698" t="s">
        <v>516</v>
      </c>
      <c r="B182" s="698"/>
      <c r="D182" s="328" t="s">
        <v>515</v>
      </c>
      <c r="F182" s="285"/>
      <c r="H182" s="328" t="s">
        <v>517</v>
      </c>
      <c r="I182" s="328"/>
      <c r="J182" s="702" t="s">
        <v>488</v>
      </c>
      <c r="K182" s="702"/>
    </row>
    <row r="183" spans="1:21" s="300" customFormat="1">
      <c r="D183" s="125" t="s">
        <v>267</v>
      </c>
      <c r="F183" s="125" t="s">
        <v>265</v>
      </c>
      <c r="H183" s="337" t="s">
        <v>266</v>
      </c>
      <c r="I183" s="337"/>
      <c r="J183" s="701" t="s">
        <v>183</v>
      </c>
      <c r="K183" s="701"/>
    </row>
    <row r="184" spans="1:21" s="300" customFormat="1">
      <c r="A184" s="698" t="s">
        <v>602</v>
      </c>
      <c r="B184" s="698"/>
      <c r="C184" s="698"/>
      <c r="D184" s="698"/>
      <c r="E184" s="698"/>
    </row>
  </sheetData>
  <mergeCells count="105">
    <mergeCell ref="B57:D57"/>
    <mergeCell ref="B58:D58"/>
    <mergeCell ref="A1:K1"/>
    <mergeCell ref="A3:K3"/>
    <mergeCell ref="A5:B5"/>
    <mergeCell ref="A7:C7"/>
    <mergeCell ref="J12:J14"/>
    <mergeCell ref="K12:K14"/>
    <mergeCell ref="D13:D14"/>
    <mergeCell ref="A47:H47"/>
    <mergeCell ref="B49:D49"/>
    <mergeCell ref="B51:D51"/>
    <mergeCell ref="B52:D52"/>
    <mergeCell ref="B53:D53"/>
    <mergeCell ref="B54:D54"/>
    <mergeCell ref="B55:D55"/>
    <mergeCell ref="B56:D56"/>
    <mergeCell ref="B50:D50"/>
    <mergeCell ref="A12:A14"/>
    <mergeCell ref="B12:B14"/>
    <mergeCell ref="C12:C14"/>
    <mergeCell ref="D12:G12"/>
    <mergeCell ref="H12:H14"/>
    <mergeCell ref="I12:I14"/>
    <mergeCell ref="B66:C66"/>
    <mergeCell ref="B67:C67"/>
    <mergeCell ref="B68:C68"/>
    <mergeCell ref="B69:C69"/>
    <mergeCell ref="B70:C70"/>
    <mergeCell ref="B74:C74"/>
    <mergeCell ref="B62:C62"/>
    <mergeCell ref="B63:C63"/>
    <mergeCell ref="B64:C64"/>
    <mergeCell ref="B65:C65"/>
    <mergeCell ref="B83:C83"/>
    <mergeCell ref="B84:C84"/>
    <mergeCell ref="B85:C85"/>
    <mergeCell ref="B86:C86"/>
    <mergeCell ref="B87:C87"/>
    <mergeCell ref="B88:C88"/>
    <mergeCell ref="B75:C75"/>
    <mergeCell ref="B76:C76"/>
    <mergeCell ref="B77:C77"/>
    <mergeCell ref="B78:C78"/>
    <mergeCell ref="A80:H80"/>
    <mergeCell ref="B82:C82"/>
    <mergeCell ref="B101:C101"/>
    <mergeCell ref="B102:C102"/>
    <mergeCell ref="B106:C106"/>
    <mergeCell ref="B107:C107"/>
    <mergeCell ref="B108:C108"/>
    <mergeCell ref="B109:C109"/>
    <mergeCell ref="B89:C89"/>
    <mergeCell ref="B90:C90"/>
    <mergeCell ref="B95:C95"/>
    <mergeCell ref="B96:C96"/>
    <mergeCell ref="B97:C97"/>
    <mergeCell ref="B100:C100"/>
    <mergeCell ref="B119:C119"/>
    <mergeCell ref="B120:C120"/>
    <mergeCell ref="B121:C121"/>
    <mergeCell ref="B122:C122"/>
    <mergeCell ref="B123:C123"/>
    <mergeCell ref="B124:C124"/>
    <mergeCell ref="B110:C110"/>
    <mergeCell ref="B111:C111"/>
    <mergeCell ref="B112:C112"/>
    <mergeCell ref="B113:C113"/>
    <mergeCell ref="B114:C114"/>
    <mergeCell ref="B118:C118"/>
    <mergeCell ref="B139:C139"/>
    <mergeCell ref="B140:C140"/>
    <mergeCell ref="B141:C141"/>
    <mergeCell ref="B142:C142"/>
    <mergeCell ref="B143:C143"/>
    <mergeCell ref="B144:C144"/>
    <mergeCell ref="B128:C128"/>
    <mergeCell ref="B131:C131"/>
    <mergeCell ref="B132:C132"/>
    <mergeCell ref="B133:C133"/>
    <mergeCell ref="B137:C137"/>
    <mergeCell ref="B138:C138"/>
    <mergeCell ref="B159:C159"/>
    <mergeCell ref="B160:C160"/>
    <mergeCell ref="B163:C163"/>
    <mergeCell ref="B155:C155"/>
    <mergeCell ref="B164:C164"/>
    <mergeCell ref="B165:C165"/>
    <mergeCell ref="B145:C145"/>
    <mergeCell ref="B149:C149"/>
    <mergeCell ref="B150:C150"/>
    <mergeCell ref="B152:C152"/>
    <mergeCell ref="J183:K183"/>
    <mergeCell ref="A184:E184"/>
    <mergeCell ref="B172:C172"/>
    <mergeCell ref="B175:C175"/>
    <mergeCell ref="B177:E177"/>
    <mergeCell ref="A179:C179"/>
    <mergeCell ref="A180:C180"/>
    <mergeCell ref="A182:B182"/>
    <mergeCell ref="B169:C169"/>
    <mergeCell ref="B170:C170"/>
    <mergeCell ref="B171:C171"/>
    <mergeCell ref="J182:K182"/>
    <mergeCell ref="B174:C174"/>
  </mergeCells>
  <pageMargins left="0.7" right="0.7" top="0.75" bottom="0.75" header="0.3" footer="0.3"/>
  <pageSetup paperSize="9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222"/>
  <sheetViews>
    <sheetView view="pageBreakPreview" zoomScale="60" workbookViewId="0">
      <selection activeCell="A4" sqref="A4:K4"/>
    </sheetView>
  </sheetViews>
  <sheetFormatPr defaultColWidth="9.140625" defaultRowHeight="15"/>
  <cols>
    <col min="1" max="1" width="3.140625" style="18" customWidth="1"/>
    <col min="2" max="2" width="17.7109375" style="109" customWidth="1"/>
    <col min="3" max="3" width="27.85546875" style="109" customWidth="1"/>
    <col min="4" max="4" width="7.85546875" style="109" customWidth="1"/>
    <col min="5" max="5" width="12.85546875" style="109" customWidth="1"/>
    <col min="6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>
      <c r="A6" s="482" t="s">
        <v>203</v>
      </c>
      <c r="B6" s="482"/>
      <c r="C6" s="277">
        <v>1210821090</v>
      </c>
    </row>
    <row r="8" spans="1:11">
      <c r="A8" s="482" t="s">
        <v>204</v>
      </c>
      <c r="B8" s="482"/>
      <c r="C8" s="482"/>
      <c r="D8" s="278" t="s">
        <v>520</v>
      </c>
    </row>
    <row r="9" spans="1:11">
      <c r="A9" s="287"/>
      <c r="B9" s="287"/>
      <c r="C9" s="287"/>
    </row>
    <row r="10" spans="1:11" hidden="1">
      <c r="A10" s="110" t="s">
        <v>205</v>
      </c>
      <c r="B10" s="111"/>
      <c r="C10" s="111"/>
      <c r="D10" s="111"/>
    </row>
    <row r="11" spans="1:11" hidden="1">
      <c r="A11" s="110" t="s">
        <v>206</v>
      </c>
      <c r="B11" s="111"/>
      <c r="C11" s="111"/>
      <c r="D11" s="111"/>
    </row>
    <row r="12" spans="1:11" hidden="1"/>
    <row r="13" spans="1:11" s="112" customFormat="1" ht="12" hidden="1">
      <c r="A13" s="713"/>
      <c r="B13" s="709" t="s">
        <v>207</v>
      </c>
      <c r="C13" s="709" t="s">
        <v>208</v>
      </c>
      <c r="D13" s="670" t="s">
        <v>209</v>
      </c>
      <c r="E13" s="675"/>
      <c r="F13" s="675"/>
      <c r="G13" s="671"/>
      <c r="H13" s="709" t="s">
        <v>210</v>
      </c>
      <c r="I13" s="709" t="s">
        <v>305</v>
      </c>
      <c r="J13" s="709" t="s">
        <v>306</v>
      </c>
      <c r="K13" s="709" t="s">
        <v>307</v>
      </c>
    </row>
    <row r="14" spans="1:11" s="112" customFormat="1" ht="12" hidden="1">
      <c r="A14" s="715"/>
      <c r="B14" s="710"/>
      <c r="C14" s="710"/>
      <c r="D14" s="713" t="s">
        <v>211</v>
      </c>
      <c r="E14" s="293" t="s">
        <v>29</v>
      </c>
      <c r="F14" s="293"/>
      <c r="G14" s="293"/>
      <c r="H14" s="710"/>
      <c r="I14" s="710"/>
      <c r="J14" s="710"/>
      <c r="K14" s="710"/>
    </row>
    <row r="15" spans="1:11" s="114" customFormat="1" ht="36" hidden="1">
      <c r="A15" s="714"/>
      <c r="B15" s="711"/>
      <c r="C15" s="711"/>
      <c r="D15" s="714"/>
      <c r="E15" s="113" t="s">
        <v>212</v>
      </c>
      <c r="F15" s="113" t="s">
        <v>213</v>
      </c>
      <c r="G15" s="113" t="s">
        <v>214</v>
      </c>
      <c r="H15" s="711"/>
      <c r="I15" s="711"/>
      <c r="J15" s="711"/>
      <c r="K15" s="711"/>
    </row>
    <row r="16" spans="1:11" s="116" customFormat="1" hidden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 hidden="1">
      <c r="A17" s="115"/>
      <c r="B17" s="115" t="s">
        <v>364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24.75" hidden="1">
      <c r="A18" s="117">
        <v>1</v>
      </c>
      <c r="B18" s="113" t="s">
        <v>302</v>
      </c>
      <c r="C18" s="118"/>
      <c r="D18" s="118">
        <f>E18+F18+G18</f>
        <v>0</v>
      </c>
      <c r="E18" s="118"/>
      <c r="F18" s="118"/>
      <c r="G18" s="118"/>
      <c r="H18" s="118"/>
      <c r="I18" s="118">
        <f>C18*D18+H18</f>
        <v>0</v>
      </c>
      <c r="J18" s="118"/>
      <c r="K18" s="118"/>
    </row>
    <row r="19" spans="1:11" hidden="1">
      <c r="A19" s="117">
        <v>2</v>
      </c>
      <c r="B19" s="113" t="s">
        <v>303</v>
      </c>
      <c r="C19" s="118"/>
      <c r="D19" s="118">
        <f t="shared" ref="D19:D27" si="0">E19+F19+G19</f>
        <v>0</v>
      </c>
      <c r="E19" s="118"/>
      <c r="F19" s="118"/>
      <c r="G19" s="118"/>
      <c r="H19" s="118"/>
      <c r="I19" s="118">
        <f t="shared" ref="I19:I27" si="1">C19*D19+H19</f>
        <v>0</v>
      </c>
      <c r="J19" s="118"/>
      <c r="K19" s="118"/>
    </row>
    <row r="20" spans="1:11" hidden="1">
      <c r="A20" s="117">
        <v>3</v>
      </c>
      <c r="B20" s="113" t="s">
        <v>304</v>
      </c>
      <c r="C20" s="118">
        <v>0</v>
      </c>
      <c r="D20" s="118">
        <f t="shared" si="0"/>
        <v>0</v>
      </c>
      <c r="E20" s="118">
        <v>0</v>
      </c>
      <c r="F20" s="118">
        <v>0</v>
      </c>
      <c r="G20" s="118">
        <v>0</v>
      </c>
      <c r="H20" s="118"/>
      <c r="I20" s="157">
        <f>ROUND((C20*D20+H20)*12,0)</f>
        <v>0</v>
      </c>
      <c r="J20" s="157">
        <v>0</v>
      </c>
      <c r="K20" s="157">
        <v>0</v>
      </c>
    </row>
    <row r="21" spans="1:11" hidden="1">
      <c r="A21" s="115"/>
      <c r="B21" s="115"/>
      <c r="C21" s="115"/>
      <c r="D21" s="118">
        <f t="shared" si="0"/>
        <v>0</v>
      </c>
      <c r="E21" s="118"/>
      <c r="F21" s="118"/>
      <c r="G21" s="118"/>
      <c r="H21" s="118"/>
      <c r="I21" s="157">
        <f t="shared" si="1"/>
        <v>0</v>
      </c>
      <c r="J21" s="157"/>
      <c r="K21" s="157"/>
    </row>
    <row r="22" spans="1:11" hidden="1">
      <c r="A22" s="117"/>
      <c r="B22" s="153"/>
      <c r="C22" s="118"/>
      <c r="D22" s="118">
        <f t="shared" si="0"/>
        <v>0</v>
      </c>
      <c r="E22" s="118"/>
      <c r="F22" s="118"/>
      <c r="G22" s="118"/>
      <c r="H22" s="118"/>
      <c r="I22" s="157">
        <f t="shared" si="1"/>
        <v>0</v>
      </c>
      <c r="J22" s="157"/>
      <c r="K22" s="157"/>
    </row>
    <row r="23" spans="1:11" hidden="1">
      <c r="A23" s="117"/>
      <c r="B23" s="153"/>
      <c r="C23" s="118"/>
      <c r="D23" s="118">
        <f t="shared" si="0"/>
        <v>0</v>
      </c>
      <c r="E23" s="118"/>
      <c r="F23" s="118"/>
      <c r="G23" s="118"/>
      <c r="H23" s="118"/>
      <c r="I23" s="157">
        <f t="shared" si="1"/>
        <v>0</v>
      </c>
      <c r="J23" s="157"/>
      <c r="K23" s="157"/>
    </row>
    <row r="24" spans="1:11" hidden="1">
      <c r="A24" s="117"/>
      <c r="B24" s="153"/>
      <c r="C24" s="118"/>
      <c r="D24" s="118">
        <f t="shared" si="0"/>
        <v>0</v>
      </c>
      <c r="E24" s="118"/>
      <c r="F24" s="118"/>
      <c r="G24" s="118"/>
      <c r="H24" s="118"/>
      <c r="I24" s="157">
        <f t="shared" si="1"/>
        <v>0</v>
      </c>
      <c r="J24" s="157"/>
      <c r="K24" s="157"/>
    </row>
    <row r="25" spans="1:11" hidden="1">
      <c r="A25" s="117"/>
      <c r="B25" s="153"/>
      <c r="C25" s="118"/>
      <c r="D25" s="118">
        <f t="shared" si="0"/>
        <v>0</v>
      </c>
      <c r="E25" s="118"/>
      <c r="F25" s="118"/>
      <c r="G25" s="118"/>
      <c r="H25" s="118"/>
      <c r="I25" s="157">
        <f t="shared" si="1"/>
        <v>0</v>
      </c>
      <c r="J25" s="157"/>
      <c r="K25" s="157"/>
    </row>
    <row r="26" spans="1:11" hidden="1">
      <c r="A26" s="117"/>
      <c r="B26" s="153"/>
      <c r="C26" s="118"/>
      <c r="D26" s="118">
        <f t="shared" si="0"/>
        <v>0</v>
      </c>
      <c r="E26" s="118"/>
      <c r="F26" s="118"/>
      <c r="G26" s="118"/>
      <c r="H26" s="118"/>
      <c r="I26" s="157">
        <f t="shared" si="1"/>
        <v>0</v>
      </c>
      <c r="J26" s="157"/>
      <c r="K26" s="157"/>
    </row>
    <row r="27" spans="1:11" hidden="1">
      <c r="A27" s="117"/>
      <c r="B27" s="153"/>
      <c r="C27" s="118"/>
      <c r="D27" s="118">
        <f t="shared" si="0"/>
        <v>0</v>
      </c>
      <c r="E27" s="118"/>
      <c r="F27" s="118"/>
      <c r="G27" s="118"/>
      <c r="H27" s="118"/>
      <c r="I27" s="157">
        <f t="shared" si="1"/>
        <v>0</v>
      </c>
      <c r="J27" s="157"/>
      <c r="K27" s="157"/>
    </row>
    <row r="28" spans="1:11" s="156" customFormat="1" hidden="1">
      <c r="A28" s="154" t="s">
        <v>215</v>
      </c>
      <c r="B28" s="155"/>
      <c r="C28" s="155"/>
      <c r="D28" s="155"/>
      <c r="E28" s="155"/>
      <c r="F28" s="155"/>
      <c r="G28" s="155"/>
      <c r="H28" s="155"/>
      <c r="I28" s="158">
        <f>SUM(I18:I27)</f>
        <v>0</v>
      </c>
      <c r="J28" s="158">
        <f t="shared" ref="J28:K28" si="2">SUM(J18:J27)</f>
        <v>0</v>
      </c>
      <c r="K28" s="158">
        <f t="shared" si="2"/>
        <v>0</v>
      </c>
    </row>
    <row r="29" spans="1:11" hidden="1"/>
    <row r="30" spans="1:11" s="66" customFormat="1" ht="14.25" hidden="1">
      <c r="A30" s="66" t="s">
        <v>216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idden="1"/>
    <row r="32" spans="1:11" s="112" customFormat="1" ht="60" hidden="1">
      <c r="A32" s="119" t="s">
        <v>217</v>
      </c>
      <c r="B32" s="113" t="s">
        <v>218</v>
      </c>
      <c r="C32" s="113" t="s">
        <v>219</v>
      </c>
      <c r="D32" s="113" t="s">
        <v>220</v>
      </c>
      <c r="E32" s="113" t="s">
        <v>221</v>
      </c>
      <c r="F32" s="113" t="s">
        <v>222</v>
      </c>
      <c r="G32" s="113" t="s">
        <v>222</v>
      </c>
      <c r="H32" s="113" t="s">
        <v>222</v>
      </c>
      <c r="I32" s="120"/>
      <c r="J32" s="120"/>
      <c r="K32" s="120"/>
    </row>
    <row r="33" spans="1:8" s="116" customFormat="1" hidden="1">
      <c r="A33" s="115">
        <v>1</v>
      </c>
      <c r="B33" s="115">
        <v>2</v>
      </c>
      <c r="C33" s="115">
        <v>3</v>
      </c>
      <c r="D33" s="115">
        <v>4</v>
      </c>
      <c r="E33" s="115">
        <v>5</v>
      </c>
      <c r="F33" s="115">
        <v>6</v>
      </c>
      <c r="G33" s="115">
        <v>7</v>
      </c>
      <c r="H33" s="115">
        <v>8</v>
      </c>
    </row>
    <row r="34" spans="1:8" hidden="1">
      <c r="A34" s="117"/>
      <c r="B34" s="118"/>
      <c r="C34" s="118"/>
      <c r="D34" s="118"/>
      <c r="E34" s="118"/>
      <c r="F34" s="118"/>
      <c r="G34" s="118"/>
      <c r="H34" s="118"/>
    </row>
    <row r="35" spans="1:8" hidden="1">
      <c r="A35" s="117"/>
      <c r="B35" s="118"/>
      <c r="C35" s="118"/>
      <c r="D35" s="118"/>
      <c r="E35" s="118"/>
      <c r="F35" s="118"/>
      <c r="G35" s="118"/>
      <c r="H35" s="118"/>
    </row>
    <row r="36" spans="1:8" hidden="1">
      <c r="A36" s="117"/>
      <c r="B36" s="118"/>
      <c r="C36" s="118"/>
      <c r="D36" s="118"/>
      <c r="E36" s="118"/>
      <c r="F36" s="118"/>
      <c r="G36" s="118"/>
      <c r="H36" s="118"/>
    </row>
    <row r="37" spans="1:8" hidden="1">
      <c r="A37" s="117"/>
      <c r="B37" s="118"/>
      <c r="C37" s="118"/>
      <c r="D37" s="118"/>
      <c r="E37" s="118"/>
      <c r="F37" s="118"/>
      <c r="G37" s="118"/>
      <c r="H37" s="118"/>
    </row>
    <row r="38" spans="1:8" hidden="1">
      <c r="A38" s="117"/>
      <c r="B38" s="118"/>
      <c r="C38" s="118"/>
      <c r="D38" s="118"/>
      <c r="E38" s="118"/>
      <c r="F38" s="118"/>
      <c r="G38" s="118"/>
      <c r="H38" s="118"/>
    </row>
    <row r="39" spans="1:8" hidden="1">
      <c r="A39" s="117"/>
      <c r="B39" s="118"/>
      <c r="C39" s="118"/>
      <c r="D39" s="118"/>
      <c r="E39" s="118"/>
      <c r="F39" s="118"/>
      <c r="G39" s="118"/>
      <c r="H39" s="118"/>
    </row>
    <row r="40" spans="1:8" hidden="1">
      <c r="A40" s="117"/>
      <c r="B40" s="118"/>
      <c r="C40" s="118"/>
      <c r="D40" s="118"/>
      <c r="E40" s="118"/>
      <c r="F40" s="118"/>
      <c r="G40" s="118"/>
      <c r="H40" s="118"/>
    </row>
    <row r="41" spans="1:8" hidden="1"/>
    <row r="42" spans="1:8" hidden="1">
      <c r="A42" s="674" t="s">
        <v>223</v>
      </c>
      <c r="B42" s="674"/>
      <c r="C42" s="674"/>
      <c r="D42" s="674"/>
      <c r="E42" s="674"/>
      <c r="F42" s="674"/>
      <c r="G42" s="674"/>
      <c r="H42" s="674"/>
    </row>
    <row r="43" spans="1:8" hidden="1"/>
    <row r="44" spans="1:8" ht="48.75" hidden="1">
      <c r="A44" s="119" t="s">
        <v>217</v>
      </c>
      <c r="B44" s="670" t="s">
        <v>224</v>
      </c>
      <c r="C44" s="675"/>
      <c r="D44" s="671"/>
      <c r="E44" s="113" t="s">
        <v>225</v>
      </c>
      <c r="F44" s="113" t="s">
        <v>296</v>
      </c>
      <c r="G44" s="113" t="s">
        <v>297</v>
      </c>
      <c r="H44" s="113" t="s">
        <v>298</v>
      </c>
    </row>
    <row r="45" spans="1:8" hidden="1">
      <c r="A45" s="115">
        <v>1</v>
      </c>
      <c r="B45" s="672">
        <v>2</v>
      </c>
      <c r="C45" s="676"/>
      <c r="D45" s="673"/>
      <c r="E45" s="115">
        <v>3</v>
      </c>
      <c r="F45" s="115">
        <v>4</v>
      </c>
      <c r="G45" s="115">
        <v>5</v>
      </c>
      <c r="H45" s="115">
        <v>6</v>
      </c>
    </row>
    <row r="46" spans="1:8" hidden="1">
      <c r="A46" s="117">
        <v>1</v>
      </c>
      <c r="B46" s="677" t="s">
        <v>226</v>
      </c>
      <c r="C46" s="678"/>
      <c r="D46" s="679"/>
      <c r="E46" s="157"/>
      <c r="F46" s="157">
        <f>F48</f>
        <v>0</v>
      </c>
      <c r="G46" s="157">
        <f t="shared" ref="G46:H46" si="3">G48</f>
        <v>0</v>
      </c>
      <c r="H46" s="157">
        <f t="shared" si="3"/>
        <v>0</v>
      </c>
    </row>
    <row r="47" spans="1:8" hidden="1">
      <c r="A47" s="117"/>
      <c r="B47" s="677" t="s">
        <v>29</v>
      </c>
      <c r="C47" s="678"/>
      <c r="D47" s="679"/>
      <c r="E47" s="157"/>
      <c r="F47" s="157"/>
      <c r="G47" s="157"/>
      <c r="H47" s="157"/>
    </row>
    <row r="48" spans="1:8" hidden="1">
      <c r="A48" s="121"/>
      <c r="B48" s="677" t="s">
        <v>227</v>
      </c>
      <c r="C48" s="678"/>
      <c r="D48" s="679"/>
      <c r="E48" s="157">
        <f>I20</f>
        <v>0</v>
      </c>
      <c r="F48" s="157">
        <f>ROUND(E48*0.22,0)</f>
        <v>0</v>
      </c>
      <c r="G48" s="157">
        <f>ROUND(J28*0.22,0)</f>
        <v>0</v>
      </c>
      <c r="H48" s="157">
        <f>ROUND(K28*0.22,0)</f>
        <v>0</v>
      </c>
    </row>
    <row r="49" spans="1:11" hidden="1">
      <c r="A49" s="117">
        <v>2</v>
      </c>
      <c r="B49" s="677" t="s">
        <v>228</v>
      </c>
      <c r="C49" s="678"/>
      <c r="D49" s="679"/>
      <c r="E49" s="157"/>
      <c r="F49" s="157">
        <f>F50+F51</f>
        <v>0</v>
      </c>
      <c r="G49" s="157">
        <f t="shared" ref="G49:H49" si="4">G50+G51</f>
        <v>0</v>
      </c>
      <c r="H49" s="157">
        <f t="shared" si="4"/>
        <v>0</v>
      </c>
    </row>
    <row r="50" spans="1:11" hidden="1">
      <c r="A50" s="117"/>
      <c r="B50" s="677" t="s">
        <v>229</v>
      </c>
      <c r="C50" s="678"/>
      <c r="D50" s="679"/>
      <c r="E50" s="157">
        <f>E48</f>
        <v>0</v>
      </c>
      <c r="F50" s="157">
        <f>ROUND(E50*0.029,0)</f>
        <v>0</v>
      </c>
      <c r="G50" s="157">
        <f>ROUND(J28*0.029,0)</f>
        <v>0</v>
      </c>
      <c r="H50" s="157">
        <f>ROUND(K28*0.029,0)</f>
        <v>0</v>
      </c>
    </row>
    <row r="51" spans="1:11" hidden="1">
      <c r="A51" s="117"/>
      <c r="B51" s="677" t="s">
        <v>230</v>
      </c>
      <c r="C51" s="678"/>
      <c r="D51" s="679"/>
      <c r="E51" s="157">
        <f>E50</f>
        <v>0</v>
      </c>
      <c r="F51" s="157">
        <f>ROUND(E51*0.002,0)</f>
        <v>0</v>
      </c>
      <c r="G51" s="157">
        <f>ROUND(J28*0.002,0)</f>
        <v>0</v>
      </c>
      <c r="H51" s="157">
        <f>ROUND(K28*0.002,0)</f>
        <v>0</v>
      </c>
    </row>
    <row r="52" spans="1:11" hidden="1">
      <c r="A52" s="117">
        <v>3</v>
      </c>
      <c r="B52" s="677" t="s">
        <v>231</v>
      </c>
      <c r="C52" s="678"/>
      <c r="D52" s="679"/>
      <c r="E52" s="157">
        <f>E51</f>
        <v>0</v>
      </c>
      <c r="F52" s="157">
        <f>ROUND(E52*0.051,0)</f>
        <v>0</v>
      </c>
      <c r="G52" s="157">
        <f>ROUND(J28*0.051,0)</f>
        <v>0</v>
      </c>
      <c r="H52" s="157">
        <f>ROUND(K28*0.051,0)+1</f>
        <v>1</v>
      </c>
    </row>
    <row r="53" spans="1:11" s="156" customFormat="1" hidden="1">
      <c r="A53" s="154"/>
      <c r="B53" s="681" t="s">
        <v>215</v>
      </c>
      <c r="C53" s="712"/>
      <c r="D53" s="682"/>
      <c r="E53" s="158"/>
      <c r="F53" s="158">
        <f>F46+F49+F52</f>
        <v>0</v>
      </c>
      <c r="G53" s="158">
        <f t="shared" ref="G53:H53" si="5">G46+G49+G52</f>
        <v>0</v>
      </c>
      <c r="H53" s="158">
        <f t="shared" si="5"/>
        <v>1</v>
      </c>
      <c r="I53" s="159"/>
      <c r="J53" s="159"/>
      <c r="K53" s="159"/>
    </row>
    <row r="54" spans="1:11" hidden="1"/>
    <row r="55" spans="1:11" s="66" customFormat="1" ht="14.25" hidden="1">
      <c r="A55" s="66" t="s">
        <v>232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</row>
    <row r="56" spans="1:11" hidden="1"/>
    <row r="57" spans="1:11" ht="48.75" hidden="1">
      <c r="A57" s="119" t="s">
        <v>217</v>
      </c>
      <c r="B57" s="670" t="s">
        <v>0</v>
      </c>
      <c r="C57" s="671"/>
      <c r="D57" s="113" t="s">
        <v>233</v>
      </c>
      <c r="E57" s="113" t="s">
        <v>234</v>
      </c>
      <c r="F57" s="113" t="s">
        <v>299</v>
      </c>
      <c r="G57" s="113" t="s">
        <v>300</v>
      </c>
      <c r="H57" s="113" t="s">
        <v>301</v>
      </c>
    </row>
    <row r="58" spans="1:11" hidden="1">
      <c r="A58" s="115">
        <v>1</v>
      </c>
      <c r="B58" s="672">
        <v>2</v>
      </c>
      <c r="C58" s="673"/>
      <c r="D58" s="115">
        <v>3</v>
      </c>
      <c r="E58" s="115">
        <v>4</v>
      </c>
      <c r="F58" s="115">
        <v>5</v>
      </c>
      <c r="G58" s="115">
        <v>6</v>
      </c>
      <c r="H58" s="115">
        <v>7</v>
      </c>
    </row>
    <row r="59" spans="1:11" hidden="1">
      <c r="A59" s="117">
        <v>1</v>
      </c>
      <c r="B59" s="672" t="s">
        <v>308</v>
      </c>
      <c r="C59" s="673"/>
      <c r="D59" s="118">
        <v>0</v>
      </c>
      <c r="E59" s="118">
        <v>0</v>
      </c>
      <c r="F59" s="157">
        <f>D59*E59</f>
        <v>0</v>
      </c>
      <c r="G59" s="157">
        <v>0</v>
      </c>
      <c r="H59" s="157">
        <v>0</v>
      </c>
    </row>
    <row r="60" spans="1:11" hidden="1">
      <c r="A60" s="117">
        <v>2</v>
      </c>
      <c r="B60" s="672" t="s">
        <v>362</v>
      </c>
      <c r="C60" s="673"/>
      <c r="D60" s="118"/>
      <c r="E60" s="118"/>
      <c r="F60" s="157">
        <f t="shared" ref="F60:F64" si="6">D60*E60</f>
        <v>0</v>
      </c>
      <c r="G60" s="157"/>
      <c r="H60" s="157"/>
    </row>
    <row r="61" spans="1:11" hidden="1">
      <c r="A61" s="117"/>
      <c r="B61" s="672"/>
      <c r="C61" s="673"/>
      <c r="D61" s="118"/>
      <c r="E61" s="118"/>
      <c r="F61" s="157">
        <f t="shared" si="6"/>
        <v>0</v>
      </c>
      <c r="G61" s="157"/>
      <c r="H61" s="157"/>
    </row>
    <row r="62" spans="1:11" hidden="1">
      <c r="A62" s="117"/>
      <c r="B62" s="672"/>
      <c r="C62" s="673"/>
      <c r="D62" s="118"/>
      <c r="E62" s="118"/>
      <c r="F62" s="157">
        <f t="shared" si="6"/>
        <v>0</v>
      </c>
      <c r="G62" s="157"/>
      <c r="H62" s="157"/>
    </row>
    <row r="63" spans="1:11" hidden="1">
      <c r="A63" s="117"/>
      <c r="B63" s="672"/>
      <c r="C63" s="673"/>
      <c r="D63" s="118"/>
      <c r="E63" s="118"/>
      <c r="F63" s="157">
        <f t="shared" si="6"/>
        <v>0</v>
      </c>
      <c r="G63" s="157"/>
      <c r="H63" s="157"/>
    </row>
    <row r="64" spans="1:11" hidden="1">
      <c r="A64" s="117"/>
      <c r="B64" s="672"/>
      <c r="C64" s="673"/>
      <c r="D64" s="118"/>
      <c r="E64" s="118"/>
      <c r="F64" s="157">
        <f t="shared" si="6"/>
        <v>0</v>
      </c>
      <c r="G64" s="157"/>
      <c r="H64" s="157"/>
    </row>
    <row r="65" spans="1:11" s="156" customFormat="1" hidden="1">
      <c r="A65" s="154"/>
      <c r="B65" s="681" t="s">
        <v>215</v>
      </c>
      <c r="C65" s="682"/>
      <c r="D65" s="155"/>
      <c r="E65" s="155"/>
      <c r="F65" s="158">
        <f>SUM(F59:F64)</f>
        <v>0</v>
      </c>
      <c r="G65" s="158">
        <f t="shared" ref="G65:H65" si="7">SUM(G59:G64)</f>
        <v>0</v>
      </c>
      <c r="H65" s="158">
        <f t="shared" si="7"/>
        <v>0</v>
      </c>
      <c r="I65" s="159"/>
      <c r="J65" s="159"/>
      <c r="K65" s="159"/>
    </row>
    <row r="66" spans="1:11" hidden="1"/>
    <row r="67" spans="1:11" s="66" customFormat="1" ht="14.25" hidden="1">
      <c r="A67" s="66" t="s">
        <v>235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idden="1"/>
    <row r="69" spans="1:11" ht="72.75" hidden="1">
      <c r="A69" s="119" t="s">
        <v>217</v>
      </c>
      <c r="B69" s="670" t="s">
        <v>236</v>
      </c>
      <c r="C69" s="671"/>
      <c r="D69" s="113" t="s">
        <v>237</v>
      </c>
      <c r="E69" s="113" t="s">
        <v>238</v>
      </c>
      <c r="F69" s="113" t="s">
        <v>311</v>
      </c>
      <c r="G69" s="113" t="s">
        <v>312</v>
      </c>
      <c r="H69" s="113" t="s">
        <v>313</v>
      </c>
    </row>
    <row r="70" spans="1:11" hidden="1">
      <c r="A70" s="115">
        <v>1</v>
      </c>
      <c r="B70" s="672">
        <v>2</v>
      </c>
      <c r="C70" s="673"/>
      <c r="D70" s="115">
        <v>3</v>
      </c>
      <c r="E70" s="115">
        <v>4</v>
      </c>
      <c r="F70" s="115">
        <v>5</v>
      </c>
      <c r="G70" s="115">
        <v>6</v>
      </c>
      <c r="H70" s="115">
        <v>7</v>
      </c>
    </row>
    <row r="71" spans="1:11" hidden="1">
      <c r="A71" s="117">
        <v>1</v>
      </c>
      <c r="B71" s="684" t="s">
        <v>309</v>
      </c>
      <c r="C71" s="685"/>
      <c r="D71" s="118">
        <v>0</v>
      </c>
      <c r="E71" s="160">
        <v>1.4999999999999999E-2</v>
      </c>
      <c r="F71" s="157">
        <f>ROUND(D71*E71,0)</f>
        <v>0</v>
      </c>
      <c r="G71" s="157">
        <f>F71</f>
        <v>0</v>
      </c>
      <c r="H71" s="157">
        <f>G71</f>
        <v>0</v>
      </c>
    </row>
    <row r="72" spans="1:11" hidden="1">
      <c r="A72" s="117">
        <v>2</v>
      </c>
      <c r="B72" s="684" t="s">
        <v>310</v>
      </c>
      <c r="C72" s="685"/>
      <c r="D72" s="118">
        <v>0</v>
      </c>
      <c r="E72" s="160">
        <v>2.1999999999999999E-2</v>
      </c>
      <c r="F72" s="157">
        <f>ROUND(D72*E72,0)</f>
        <v>0</v>
      </c>
      <c r="G72" s="157">
        <f>F72</f>
        <v>0</v>
      </c>
      <c r="H72" s="157">
        <f>G72</f>
        <v>0</v>
      </c>
    </row>
    <row r="73" spans="1:11" hidden="1">
      <c r="A73" s="117"/>
      <c r="B73" s="672"/>
      <c r="C73" s="673"/>
      <c r="D73" s="118"/>
      <c r="E73" s="118"/>
      <c r="F73" s="157"/>
      <c r="G73" s="157"/>
      <c r="H73" s="157"/>
    </row>
    <row r="74" spans="1:11" hidden="1">
      <c r="A74" s="117"/>
      <c r="B74" s="672"/>
      <c r="C74" s="673"/>
      <c r="D74" s="118"/>
      <c r="E74" s="118"/>
      <c r="F74" s="157"/>
      <c r="G74" s="157"/>
      <c r="H74" s="157"/>
    </row>
    <row r="75" spans="1:11" hidden="1">
      <c r="A75" s="117"/>
      <c r="B75" s="672"/>
      <c r="C75" s="673"/>
      <c r="D75" s="118"/>
      <c r="E75" s="118"/>
      <c r="F75" s="157"/>
      <c r="G75" s="157"/>
      <c r="H75" s="157"/>
    </row>
    <row r="76" spans="1:11" hidden="1">
      <c r="A76" s="117"/>
      <c r="B76" s="672"/>
      <c r="C76" s="673"/>
      <c r="D76" s="118"/>
      <c r="E76" s="118"/>
      <c r="F76" s="157"/>
      <c r="G76" s="157"/>
      <c r="H76" s="157"/>
    </row>
    <row r="77" spans="1:11" s="156" customFormat="1" hidden="1">
      <c r="A77" s="154"/>
      <c r="B77" s="681" t="s">
        <v>215</v>
      </c>
      <c r="C77" s="682"/>
      <c r="D77" s="155"/>
      <c r="E77" s="155"/>
      <c r="F77" s="158">
        <f>SUM(F71:F76)</f>
        <v>0</v>
      </c>
      <c r="G77" s="158">
        <f t="shared" ref="G77:H77" si="8">SUM(G71:G76)</f>
        <v>0</v>
      </c>
      <c r="H77" s="158">
        <f t="shared" si="8"/>
        <v>0</v>
      </c>
      <c r="I77" s="159"/>
      <c r="J77" s="159"/>
      <c r="K77" s="159"/>
    </row>
    <row r="78" spans="1:11" hidden="1"/>
    <row r="79" spans="1:11" hidden="1">
      <c r="A79" s="683" t="s">
        <v>239</v>
      </c>
      <c r="B79" s="683"/>
      <c r="C79" s="683"/>
      <c r="D79" s="683"/>
      <c r="E79" s="683"/>
      <c r="F79" s="683"/>
      <c r="G79" s="683"/>
      <c r="H79" s="683"/>
    </row>
    <row r="80" spans="1:11" hidden="1"/>
    <row r="81" spans="1:11" ht="48.75" hidden="1">
      <c r="A81" s="119" t="s">
        <v>217</v>
      </c>
      <c r="B81" s="670" t="s">
        <v>0</v>
      </c>
      <c r="C81" s="671"/>
      <c r="D81" s="113" t="s">
        <v>240</v>
      </c>
      <c r="E81" s="113" t="s">
        <v>234</v>
      </c>
      <c r="F81" s="113" t="s">
        <v>241</v>
      </c>
      <c r="G81" s="113" t="s">
        <v>241</v>
      </c>
      <c r="H81" s="113" t="s">
        <v>241</v>
      </c>
    </row>
    <row r="82" spans="1:11" hidden="1">
      <c r="A82" s="115">
        <v>1</v>
      </c>
      <c r="B82" s="672">
        <v>2</v>
      </c>
      <c r="C82" s="673"/>
      <c r="D82" s="115">
        <v>3</v>
      </c>
      <c r="E82" s="115">
        <v>4</v>
      </c>
      <c r="F82" s="115">
        <v>5</v>
      </c>
      <c r="G82" s="115">
        <v>6</v>
      </c>
      <c r="H82" s="115">
        <v>7</v>
      </c>
    </row>
    <row r="83" spans="1:11" hidden="1">
      <c r="A83" s="117"/>
      <c r="B83" s="672"/>
      <c r="C83" s="673"/>
      <c r="D83" s="118"/>
      <c r="E83" s="118"/>
      <c r="F83" s="118"/>
      <c r="G83" s="118"/>
      <c r="H83" s="118"/>
    </row>
    <row r="84" spans="1:11" hidden="1">
      <c r="A84" s="117"/>
      <c r="B84" s="672"/>
      <c r="C84" s="673"/>
      <c r="D84" s="118"/>
      <c r="E84" s="118"/>
      <c r="F84" s="118"/>
      <c r="G84" s="118"/>
      <c r="H84" s="118"/>
    </row>
    <row r="85" spans="1:11" hidden="1">
      <c r="A85" s="117"/>
      <c r="B85" s="672"/>
      <c r="C85" s="673"/>
      <c r="D85" s="118"/>
      <c r="E85" s="118"/>
      <c r="F85" s="118"/>
      <c r="G85" s="118"/>
      <c r="H85" s="118"/>
    </row>
    <row r="86" spans="1:11" hidden="1">
      <c r="A86" s="117"/>
      <c r="B86" s="672"/>
      <c r="C86" s="673"/>
      <c r="D86" s="118"/>
      <c r="E86" s="118"/>
      <c r="F86" s="118"/>
      <c r="G86" s="118"/>
      <c r="H86" s="118"/>
    </row>
    <row r="87" spans="1:11" hidden="1">
      <c r="A87" s="117"/>
      <c r="B87" s="672"/>
      <c r="C87" s="673"/>
      <c r="D87" s="118"/>
      <c r="E87" s="118"/>
      <c r="F87" s="118"/>
      <c r="G87" s="118"/>
      <c r="H87" s="118"/>
    </row>
    <row r="88" spans="1:11" hidden="1">
      <c r="A88" s="117"/>
      <c r="B88" s="672"/>
      <c r="C88" s="673"/>
      <c r="D88" s="118"/>
      <c r="E88" s="118"/>
      <c r="F88" s="118"/>
      <c r="G88" s="118"/>
      <c r="H88" s="118"/>
    </row>
    <row r="89" spans="1:11" hidden="1">
      <c r="A89" s="117"/>
      <c r="B89" s="672" t="s">
        <v>215</v>
      </c>
      <c r="C89" s="673"/>
      <c r="D89" s="118"/>
      <c r="E89" s="118"/>
      <c r="F89" s="118"/>
      <c r="G89" s="118"/>
      <c r="H89" s="118"/>
    </row>
    <row r="90" spans="1:11" hidden="1"/>
    <row r="91" spans="1:11" s="66" customFormat="1" ht="14.25" hidden="1">
      <c r="A91" s="66" t="s">
        <v>242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1:11" s="66" customFormat="1" ht="14.25" hidden="1">
      <c r="A92" s="66" t="s">
        <v>243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1:11" hidden="1"/>
    <row r="94" spans="1:11" ht="48.75" hidden="1">
      <c r="A94" s="119" t="s">
        <v>217</v>
      </c>
      <c r="B94" s="670" t="s">
        <v>314</v>
      </c>
      <c r="C94" s="671"/>
      <c r="D94" s="113" t="s">
        <v>244</v>
      </c>
      <c r="E94" s="113" t="s">
        <v>245</v>
      </c>
      <c r="F94" s="113" t="s">
        <v>246</v>
      </c>
      <c r="G94" s="113" t="s">
        <v>299</v>
      </c>
      <c r="H94" s="113" t="s">
        <v>300</v>
      </c>
      <c r="I94" s="113" t="s">
        <v>301</v>
      </c>
    </row>
    <row r="95" spans="1:11" hidden="1">
      <c r="A95" s="115">
        <v>1</v>
      </c>
      <c r="B95" s="672">
        <v>2</v>
      </c>
      <c r="C95" s="673"/>
      <c r="D95" s="115">
        <v>3</v>
      </c>
      <c r="E95" s="115">
        <v>4</v>
      </c>
      <c r="F95" s="115">
        <v>5</v>
      </c>
      <c r="G95" s="115">
        <v>6</v>
      </c>
      <c r="H95" s="115">
        <v>7</v>
      </c>
      <c r="I95" s="115">
        <v>8</v>
      </c>
    </row>
    <row r="96" spans="1:11" hidden="1">
      <c r="A96" s="117"/>
      <c r="B96" s="684" t="s">
        <v>244</v>
      </c>
      <c r="C96" s="685"/>
      <c r="D96" s="118"/>
      <c r="E96" s="118"/>
      <c r="F96" s="118"/>
      <c r="G96" s="157"/>
      <c r="H96" s="157"/>
      <c r="I96" s="157"/>
    </row>
    <row r="97" spans="1:11" hidden="1">
      <c r="A97" s="117"/>
      <c r="B97" s="684" t="s">
        <v>315</v>
      </c>
      <c r="C97" s="685"/>
      <c r="D97" s="118">
        <v>0</v>
      </c>
      <c r="E97" s="118">
        <v>12</v>
      </c>
      <c r="F97" s="118">
        <v>247.8</v>
      </c>
      <c r="G97" s="157">
        <f>D97*E97*F97</f>
        <v>0</v>
      </c>
      <c r="H97" s="157"/>
      <c r="I97" s="157"/>
    </row>
    <row r="98" spans="1:11" hidden="1">
      <c r="A98" s="117"/>
      <c r="B98" s="296" t="s">
        <v>316</v>
      </c>
      <c r="C98" s="297"/>
      <c r="D98" s="118">
        <v>0</v>
      </c>
      <c r="E98" s="118">
        <v>12</v>
      </c>
      <c r="F98" s="118">
        <v>0.61</v>
      </c>
      <c r="G98" s="157">
        <f t="shared" ref="G98:G99" si="9">D98*E98*F98</f>
        <v>0</v>
      </c>
      <c r="H98" s="157"/>
      <c r="I98" s="157"/>
    </row>
    <row r="99" spans="1:11" hidden="1">
      <c r="A99" s="117"/>
      <c r="B99" s="296" t="s">
        <v>317</v>
      </c>
      <c r="C99" s="297"/>
      <c r="D99" s="118">
        <v>0</v>
      </c>
      <c r="E99" s="118">
        <v>12</v>
      </c>
      <c r="F99" s="118">
        <v>2341.4299999999998</v>
      </c>
      <c r="G99" s="157">
        <f t="shared" si="9"/>
        <v>0</v>
      </c>
      <c r="H99" s="157"/>
      <c r="I99" s="157"/>
    </row>
    <row r="100" spans="1:11" hidden="1">
      <c r="A100" s="117"/>
      <c r="B100" s="672"/>
      <c r="C100" s="673"/>
      <c r="D100" s="118"/>
      <c r="E100" s="118"/>
      <c r="F100" s="118"/>
      <c r="G100" s="157"/>
      <c r="H100" s="157"/>
      <c r="I100" s="157"/>
    </row>
    <row r="101" spans="1:11" hidden="1">
      <c r="A101" s="117"/>
      <c r="B101" s="672"/>
      <c r="C101" s="673"/>
      <c r="D101" s="118"/>
      <c r="E101" s="118"/>
      <c r="F101" s="118"/>
      <c r="G101" s="157"/>
      <c r="H101" s="157"/>
      <c r="I101" s="157"/>
    </row>
    <row r="102" spans="1:11" s="156" customFormat="1" hidden="1">
      <c r="A102" s="154"/>
      <c r="B102" s="681" t="s">
        <v>215</v>
      </c>
      <c r="C102" s="682"/>
      <c r="D102" s="155"/>
      <c r="E102" s="155"/>
      <c r="F102" s="155"/>
      <c r="G102" s="158">
        <f>ROUND(SUM(G96:G101),0)</f>
        <v>0</v>
      </c>
      <c r="H102" s="158">
        <f t="shared" ref="H102:I102" si="10">SUM(H96:H101)</f>
        <v>0</v>
      </c>
      <c r="I102" s="158">
        <f t="shared" si="10"/>
        <v>0</v>
      </c>
      <c r="J102" s="159"/>
      <c r="K102" s="159"/>
    </row>
    <row r="103" spans="1:11" hidden="1"/>
    <row r="104" spans="1:11" s="66" customFormat="1" ht="14.25" hidden="1">
      <c r="A104" s="66" t="s">
        <v>247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</row>
    <row r="105" spans="1:11" hidden="1"/>
    <row r="106" spans="1:11" ht="60.75" hidden="1">
      <c r="A106" s="119" t="s">
        <v>217</v>
      </c>
      <c r="B106" s="670" t="s">
        <v>236</v>
      </c>
      <c r="C106" s="671"/>
      <c r="D106" s="113" t="s">
        <v>248</v>
      </c>
      <c r="E106" s="113" t="s">
        <v>249</v>
      </c>
      <c r="F106" s="113" t="s">
        <v>299</v>
      </c>
      <c r="G106" s="113" t="s">
        <v>300</v>
      </c>
      <c r="H106" s="113" t="s">
        <v>301</v>
      </c>
    </row>
    <row r="107" spans="1:11" hidden="1">
      <c r="A107" s="115">
        <v>1</v>
      </c>
      <c r="B107" s="672">
        <v>2</v>
      </c>
      <c r="C107" s="673"/>
      <c r="D107" s="115">
        <v>3</v>
      </c>
      <c r="E107" s="115">
        <v>4</v>
      </c>
      <c r="F107" s="115">
        <v>5</v>
      </c>
      <c r="G107" s="115">
        <v>6</v>
      </c>
      <c r="H107" s="115">
        <v>7</v>
      </c>
    </row>
    <row r="108" spans="1:11" hidden="1">
      <c r="A108" s="117">
        <v>1</v>
      </c>
      <c r="B108" s="672" t="s">
        <v>353</v>
      </c>
      <c r="C108" s="673"/>
      <c r="D108" s="118"/>
      <c r="E108" s="118"/>
      <c r="F108" s="118">
        <f>D108*E108</f>
        <v>0</v>
      </c>
      <c r="G108" s="118"/>
      <c r="H108" s="118"/>
    </row>
    <row r="109" spans="1:11" hidden="1">
      <c r="A109" s="117"/>
      <c r="B109" s="672"/>
      <c r="C109" s="673"/>
      <c r="D109" s="118"/>
      <c r="E109" s="118"/>
      <c r="F109" s="118">
        <f t="shared" ref="F109:F113" si="11">D109*E109</f>
        <v>0</v>
      </c>
      <c r="G109" s="118"/>
      <c r="H109" s="118"/>
    </row>
    <row r="110" spans="1:11" hidden="1">
      <c r="A110" s="117"/>
      <c r="B110" s="672"/>
      <c r="C110" s="673"/>
      <c r="D110" s="118"/>
      <c r="E110" s="118"/>
      <c r="F110" s="118">
        <f t="shared" si="11"/>
        <v>0</v>
      </c>
      <c r="G110" s="118"/>
      <c r="H110" s="118"/>
    </row>
    <row r="111" spans="1:11" hidden="1">
      <c r="A111" s="117"/>
      <c r="B111" s="672"/>
      <c r="C111" s="673"/>
      <c r="D111" s="118"/>
      <c r="E111" s="118"/>
      <c r="F111" s="118">
        <f t="shared" si="11"/>
        <v>0</v>
      </c>
      <c r="G111" s="118"/>
      <c r="H111" s="118"/>
    </row>
    <row r="112" spans="1:11" hidden="1">
      <c r="A112" s="117"/>
      <c r="B112" s="672"/>
      <c r="C112" s="673"/>
      <c r="D112" s="118"/>
      <c r="E112" s="118"/>
      <c r="F112" s="118">
        <f t="shared" si="11"/>
        <v>0</v>
      </c>
      <c r="G112" s="118"/>
      <c r="H112" s="118"/>
    </row>
    <row r="113" spans="1:11" hidden="1">
      <c r="A113" s="117"/>
      <c r="B113" s="672"/>
      <c r="C113" s="673"/>
      <c r="D113" s="118"/>
      <c r="E113" s="118"/>
      <c r="F113" s="118">
        <f t="shared" si="11"/>
        <v>0</v>
      </c>
      <c r="G113" s="118"/>
      <c r="H113" s="118"/>
    </row>
    <row r="114" spans="1:11" s="156" customFormat="1" hidden="1">
      <c r="A114" s="154"/>
      <c r="B114" s="681" t="s">
        <v>215</v>
      </c>
      <c r="C114" s="682"/>
      <c r="D114" s="155"/>
      <c r="E114" s="155"/>
      <c r="F114" s="155">
        <f>SUM(F108:F113)</f>
        <v>0</v>
      </c>
      <c r="G114" s="155">
        <f t="shared" ref="G114:H114" si="12">SUM(G108:G113)</f>
        <v>0</v>
      </c>
      <c r="H114" s="155">
        <f t="shared" si="12"/>
        <v>0</v>
      </c>
      <c r="I114" s="159"/>
      <c r="J114" s="159"/>
      <c r="K114" s="159"/>
    </row>
    <row r="115" spans="1:11" hidden="1"/>
    <row r="116" spans="1:11" s="66" customFormat="1" ht="14.25" hidden="1">
      <c r="A116" s="66" t="s">
        <v>250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</row>
    <row r="117" spans="1:11" hidden="1"/>
    <row r="118" spans="1:11" ht="48.75" hidden="1">
      <c r="A118" s="119" t="s">
        <v>217</v>
      </c>
      <c r="B118" s="670" t="s">
        <v>0</v>
      </c>
      <c r="C118" s="671"/>
      <c r="D118" s="113" t="s">
        <v>251</v>
      </c>
      <c r="E118" s="113" t="s">
        <v>252</v>
      </c>
      <c r="F118" s="113" t="s">
        <v>253</v>
      </c>
      <c r="G118" s="113" t="s">
        <v>299</v>
      </c>
      <c r="H118" s="113" t="s">
        <v>300</v>
      </c>
      <c r="I118" s="113" t="s">
        <v>301</v>
      </c>
    </row>
    <row r="119" spans="1:11" hidden="1">
      <c r="A119" s="115">
        <v>1</v>
      </c>
      <c r="B119" s="672">
        <v>2</v>
      </c>
      <c r="C119" s="673"/>
      <c r="D119" s="115">
        <v>3</v>
      </c>
      <c r="E119" s="115">
        <v>4</v>
      </c>
      <c r="F119" s="115">
        <v>5</v>
      </c>
      <c r="G119" s="115">
        <v>6</v>
      </c>
      <c r="H119" s="115">
        <v>7</v>
      </c>
      <c r="I119" s="115">
        <v>8</v>
      </c>
    </row>
    <row r="120" spans="1:11" hidden="1">
      <c r="A120" s="117"/>
      <c r="B120" s="672" t="s">
        <v>354</v>
      </c>
      <c r="C120" s="673"/>
      <c r="D120" s="118"/>
      <c r="E120" s="118"/>
      <c r="F120" s="118"/>
      <c r="G120" s="118">
        <f>D120*E120*F120</f>
        <v>0</v>
      </c>
      <c r="H120" s="118"/>
      <c r="I120" s="118"/>
    </row>
    <row r="121" spans="1:11" hidden="1">
      <c r="A121" s="117"/>
      <c r="B121" s="672"/>
      <c r="C121" s="673"/>
      <c r="D121" s="118"/>
      <c r="E121" s="118"/>
      <c r="F121" s="118"/>
      <c r="G121" s="118">
        <f t="shared" ref="G121:G125" si="13">D121*E121*F121</f>
        <v>0</v>
      </c>
      <c r="H121" s="118"/>
      <c r="I121" s="118"/>
    </row>
    <row r="122" spans="1:11" hidden="1">
      <c r="A122" s="117"/>
      <c r="B122" s="672" t="s">
        <v>354</v>
      </c>
      <c r="C122" s="673"/>
      <c r="D122" s="118"/>
      <c r="E122" s="118"/>
      <c r="F122" s="118"/>
      <c r="G122" s="118">
        <f t="shared" si="13"/>
        <v>0</v>
      </c>
      <c r="H122" s="118"/>
      <c r="I122" s="118"/>
    </row>
    <row r="123" spans="1:11" hidden="1">
      <c r="A123" s="117"/>
      <c r="B123" s="672"/>
      <c r="C123" s="673"/>
      <c r="D123" s="118"/>
      <c r="E123" s="118"/>
      <c r="F123" s="118"/>
      <c r="G123" s="118">
        <f t="shared" si="13"/>
        <v>0</v>
      </c>
      <c r="H123" s="118"/>
      <c r="I123" s="118"/>
    </row>
    <row r="124" spans="1:11" hidden="1">
      <c r="A124" s="117"/>
      <c r="B124" s="672" t="s">
        <v>354</v>
      </c>
      <c r="C124" s="673"/>
      <c r="D124" s="118"/>
      <c r="E124" s="118"/>
      <c r="F124" s="118"/>
      <c r="G124" s="118">
        <f t="shared" si="13"/>
        <v>0</v>
      </c>
      <c r="H124" s="118"/>
      <c r="I124" s="118"/>
    </row>
    <row r="125" spans="1:11" hidden="1">
      <c r="A125" s="117"/>
      <c r="B125" s="672"/>
      <c r="C125" s="673"/>
      <c r="D125" s="118"/>
      <c r="E125" s="118"/>
      <c r="F125" s="118"/>
      <c r="G125" s="118">
        <f t="shared" si="13"/>
        <v>0</v>
      </c>
      <c r="H125" s="118"/>
      <c r="I125" s="118"/>
    </row>
    <row r="126" spans="1:11" s="156" customFormat="1" hidden="1">
      <c r="A126" s="154"/>
      <c r="B126" s="681" t="s">
        <v>215</v>
      </c>
      <c r="C126" s="682"/>
      <c r="D126" s="155"/>
      <c r="E126" s="155"/>
      <c r="F126" s="155"/>
      <c r="G126" s="155">
        <f>SUM(G120:G125)</f>
        <v>0</v>
      </c>
      <c r="H126" s="155">
        <f t="shared" ref="H126:I126" si="14">SUM(H120:H125)</f>
        <v>0</v>
      </c>
      <c r="I126" s="155">
        <f t="shared" si="14"/>
        <v>0</v>
      </c>
      <c r="J126" s="159"/>
      <c r="K126" s="159"/>
    </row>
    <row r="127" spans="1:11" hidden="1"/>
    <row r="128" spans="1:11" s="66" customFormat="1" ht="14.25" hidden="1">
      <c r="A128" s="66" t="s">
        <v>254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</row>
    <row r="129" spans="1:11" hidden="1"/>
    <row r="130" spans="1:11" ht="48.75" hidden="1">
      <c r="A130" s="119" t="s">
        <v>217</v>
      </c>
      <c r="B130" s="670" t="s">
        <v>0</v>
      </c>
      <c r="C130" s="671"/>
      <c r="D130" s="113" t="s">
        <v>255</v>
      </c>
      <c r="E130" s="113" t="s">
        <v>256</v>
      </c>
      <c r="F130" s="113" t="s">
        <v>257</v>
      </c>
      <c r="G130" s="113" t="s">
        <v>257</v>
      </c>
      <c r="H130" s="113" t="s">
        <v>257</v>
      </c>
    </row>
    <row r="131" spans="1:11" hidden="1">
      <c r="A131" s="115">
        <v>1</v>
      </c>
      <c r="B131" s="672">
        <v>2</v>
      </c>
      <c r="C131" s="673"/>
      <c r="D131" s="115">
        <v>3</v>
      </c>
      <c r="E131" s="115">
        <v>4</v>
      </c>
      <c r="F131" s="115">
        <v>5</v>
      </c>
      <c r="G131" s="115">
        <v>6</v>
      </c>
      <c r="H131" s="115">
        <v>7</v>
      </c>
    </row>
    <row r="132" spans="1:11" hidden="1">
      <c r="A132" s="117"/>
      <c r="B132" s="672"/>
      <c r="C132" s="673"/>
      <c r="D132" s="118"/>
      <c r="E132" s="118"/>
      <c r="F132" s="118"/>
      <c r="G132" s="118"/>
      <c r="H132" s="118"/>
    </row>
    <row r="133" spans="1:11" hidden="1">
      <c r="A133" s="117"/>
      <c r="B133" s="672"/>
      <c r="C133" s="673"/>
      <c r="D133" s="118"/>
      <c r="E133" s="118"/>
      <c r="F133" s="118"/>
      <c r="G133" s="118"/>
      <c r="H133" s="118"/>
    </row>
    <row r="134" spans="1:11" hidden="1">
      <c r="A134" s="117"/>
      <c r="B134" s="672"/>
      <c r="C134" s="673"/>
      <c r="D134" s="118"/>
      <c r="E134" s="118"/>
      <c r="F134" s="118"/>
      <c r="G134" s="118"/>
      <c r="H134" s="118"/>
    </row>
    <row r="135" spans="1:11" hidden="1">
      <c r="A135" s="117"/>
      <c r="B135" s="672"/>
      <c r="C135" s="673"/>
      <c r="D135" s="118"/>
      <c r="E135" s="118"/>
      <c r="F135" s="118"/>
      <c r="G135" s="118"/>
      <c r="H135" s="118"/>
    </row>
    <row r="136" spans="1:11" hidden="1">
      <c r="A136" s="117"/>
      <c r="B136" s="672"/>
      <c r="C136" s="673"/>
      <c r="D136" s="118"/>
      <c r="E136" s="118"/>
      <c r="F136" s="118"/>
      <c r="G136" s="118"/>
      <c r="H136" s="118"/>
    </row>
    <row r="137" spans="1:11" hidden="1">
      <c r="A137" s="117"/>
      <c r="B137" s="672"/>
      <c r="C137" s="673"/>
      <c r="D137" s="118"/>
      <c r="E137" s="118"/>
      <c r="F137" s="118"/>
      <c r="G137" s="118"/>
      <c r="H137" s="118"/>
    </row>
    <row r="138" spans="1:11" s="156" customFormat="1" hidden="1">
      <c r="A138" s="154"/>
      <c r="B138" s="681" t="s">
        <v>215</v>
      </c>
      <c r="C138" s="682"/>
      <c r="D138" s="155"/>
      <c r="E138" s="155"/>
      <c r="F138" s="155">
        <f>SUM(F132:F137)</f>
        <v>0</v>
      </c>
      <c r="G138" s="155">
        <f t="shared" ref="G138:H138" si="15">SUM(G132:G137)</f>
        <v>0</v>
      </c>
      <c r="H138" s="155">
        <f t="shared" si="15"/>
        <v>0</v>
      </c>
      <c r="I138" s="159"/>
      <c r="J138" s="159"/>
      <c r="K138" s="159"/>
    </row>
    <row r="139" spans="1:11" hidden="1"/>
    <row r="140" spans="1:11" s="66" customFormat="1" ht="14.25" hidden="1">
      <c r="A140" s="66" t="s">
        <v>258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1:11" hidden="1"/>
    <row r="142" spans="1:11" ht="48.75" hidden="1">
      <c r="A142" s="119" t="s">
        <v>217</v>
      </c>
      <c r="B142" s="670" t="s">
        <v>0</v>
      </c>
      <c r="C142" s="671"/>
      <c r="D142" s="113" t="s">
        <v>259</v>
      </c>
      <c r="E142" s="113" t="s">
        <v>260</v>
      </c>
      <c r="F142" s="113" t="s">
        <v>299</v>
      </c>
      <c r="G142" s="113" t="s">
        <v>300</v>
      </c>
      <c r="H142" s="113" t="s">
        <v>301</v>
      </c>
    </row>
    <row r="143" spans="1:11" hidden="1">
      <c r="A143" s="115">
        <v>1</v>
      </c>
      <c r="B143" s="672">
        <v>2</v>
      </c>
      <c r="C143" s="673"/>
      <c r="D143" s="115">
        <v>3</v>
      </c>
      <c r="E143" s="115">
        <v>4</v>
      </c>
      <c r="F143" s="115">
        <v>5</v>
      </c>
      <c r="G143" s="115">
        <v>6</v>
      </c>
      <c r="H143" s="115">
        <v>7</v>
      </c>
    </row>
    <row r="144" spans="1:11" hidden="1">
      <c r="A144" s="117">
        <v>1</v>
      </c>
      <c r="B144" s="672" t="s">
        <v>355</v>
      </c>
      <c r="C144" s="673"/>
      <c r="D144" s="118">
        <v>0</v>
      </c>
      <c r="E144" s="118"/>
      <c r="F144" s="118">
        <f>E144*D144</f>
        <v>0</v>
      </c>
      <c r="G144" s="118"/>
      <c r="H144" s="118"/>
    </row>
    <row r="145" spans="1:8" hidden="1">
      <c r="A145" s="117"/>
      <c r="B145" s="672" t="s">
        <v>356</v>
      </c>
      <c r="C145" s="673"/>
      <c r="D145" s="118"/>
      <c r="E145" s="118"/>
      <c r="F145" s="118">
        <f t="shared" ref="F145:F161" si="16">E145*D145</f>
        <v>0</v>
      </c>
      <c r="G145" s="118"/>
      <c r="H145" s="118"/>
    </row>
    <row r="146" spans="1:8" hidden="1">
      <c r="A146" s="117"/>
      <c r="B146" s="294"/>
      <c r="C146" s="295"/>
      <c r="D146" s="118"/>
      <c r="E146" s="118"/>
      <c r="F146" s="118">
        <f t="shared" si="16"/>
        <v>0</v>
      </c>
      <c r="G146" s="118"/>
      <c r="H146" s="118"/>
    </row>
    <row r="147" spans="1:8" hidden="1">
      <c r="A147" s="117"/>
      <c r="B147" s="294"/>
      <c r="C147" s="295"/>
      <c r="D147" s="118"/>
      <c r="E147" s="118"/>
      <c r="F147" s="118">
        <f t="shared" si="16"/>
        <v>0</v>
      </c>
      <c r="G147" s="118"/>
      <c r="H147" s="118"/>
    </row>
    <row r="148" spans="1:8" hidden="1">
      <c r="A148" s="117"/>
      <c r="B148" s="294"/>
      <c r="C148" s="295"/>
      <c r="D148" s="118"/>
      <c r="E148" s="118"/>
      <c r="F148" s="118">
        <f t="shared" si="16"/>
        <v>0</v>
      </c>
      <c r="G148" s="118"/>
      <c r="H148" s="118"/>
    </row>
    <row r="149" spans="1:8" hidden="1">
      <c r="A149" s="117"/>
      <c r="B149" s="294"/>
      <c r="C149" s="295"/>
      <c r="D149" s="118"/>
      <c r="E149" s="118"/>
      <c r="F149" s="118">
        <f t="shared" si="16"/>
        <v>0</v>
      </c>
      <c r="G149" s="118"/>
      <c r="H149" s="118"/>
    </row>
    <row r="150" spans="1:8" hidden="1">
      <c r="A150" s="117"/>
      <c r="B150" s="294"/>
      <c r="C150" s="295"/>
      <c r="D150" s="118"/>
      <c r="E150" s="118"/>
      <c r="F150" s="118">
        <f t="shared" si="16"/>
        <v>0</v>
      </c>
      <c r="G150" s="118"/>
      <c r="H150" s="118"/>
    </row>
    <row r="151" spans="1:8" hidden="1">
      <c r="A151" s="117"/>
      <c r="B151" s="294"/>
      <c r="C151" s="295"/>
      <c r="D151" s="118"/>
      <c r="E151" s="118"/>
      <c r="F151" s="118">
        <f t="shared" si="16"/>
        <v>0</v>
      </c>
      <c r="G151" s="118"/>
      <c r="H151" s="118"/>
    </row>
    <row r="152" spans="1:8" hidden="1">
      <c r="A152" s="117"/>
      <c r="B152" s="294"/>
      <c r="C152" s="295"/>
      <c r="D152" s="118"/>
      <c r="E152" s="118"/>
      <c r="F152" s="118">
        <f t="shared" si="16"/>
        <v>0</v>
      </c>
      <c r="G152" s="118"/>
      <c r="H152" s="118"/>
    </row>
    <row r="153" spans="1:8" hidden="1">
      <c r="A153" s="117"/>
      <c r="B153" s="294"/>
      <c r="C153" s="295"/>
      <c r="D153" s="118"/>
      <c r="E153" s="118"/>
      <c r="F153" s="118">
        <f t="shared" si="16"/>
        <v>0</v>
      </c>
      <c r="G153" s="118"/>
      <c r="H153" s="118"/>
    </row>
    <row r="154" spans="1:8" hidden="1">
      <c r="A154" s="117"/>
      <c r="B154" s="294"/>
      <c r="C154" s="295"/>
      <c r="D154" s="118"/>
      <c r="E154" s="118"/>
      <c r="F154" s="118">
        <f t="shared" si="16"/>
        <v>0</v>
      </c>
      <c r="G154" s="118"/>
      <c r="H154" s="118"/>
    </row>
    <row r="155" spans="1:8" hidden="1">
      <c r="A155" s="117"/>
      <c r="B155" s="294"/>
      <c r="C155" s="295"/>
      <c r="D155" s="118"/>
      <c r="E155" s="118"/>
      <c r="F155" s="118">
        <f t="shared" si="16"/>
        <v>0</v>
      </c>
      <c r="G155" s="118"/>
      <c r="H155" s="118"/>
    </row>
    <row r="156" spans="1:8" hidden="1">
      <c r="A156" s="117"/>
      <c r="B156" s="294"/>
      <c r="C156" s="295"/>
      <c r="D156" s="118"/>
      <c r="E156" s="118"/>
      <c r="F156" s="118">
        <f t="shared" si="16"/>
        <v>0</v>
      </c>
      <c r="G156" s="118"/>
      <c r="H156" s="118"/>
    </row>
    <row r="157" spans="1:8" hidden="1">
      <c r="A157" s="117"/>
      <c r="B157" s="294"/>
      <c r="C157" s="295"/>
      <c r="D157" s="118"/>
      <c r="E157" s="118"/>
      <c r="F157" s="118">
        <f t="shared" si="16"/>
        <v>0</v>
      </c>
      <c r="G157" s="118"/>
      <c r="H157" s="118"/>
    </row>
    <row r="158" spans="1:8" hidden="1">
      <c r="A158" s="117"/>
      <c r="B158" s="672"/>
      <c r="C158" s="673"/>
      <c r="D158" s="118"/>
      <c r="E158" s="118"/>
      <c r="F158" s="118">
        <f t="shared" si="16"/>
        <v>0</v>
      </c>
      <c r="G158" s="118"/>
      <c r="H158" s="118"/>
    </row>
    <row r="159" spans="1:8" hidden="1">
      <c r="A159" s="117"/>
      <c r="B159" s="672"/>
      <c r="C159" s="673"/>
      <c r="D159" s="118"/>
      <c r="E159" s="118"/>
      <c r="F159" s="118">
        <f t="shared" si="16"/>
        <v>0</v>
      </c>
      <c r="G159" s="118"/>
      <c r="H159" s="118"/>
    </row>
    <row r="160" spans="1:8" hidden="1">
      <c r="A160" s="117"/>
      <c r="B160" s="672"/>
      <c r="C160" s="673"/>
      <c r="D160" s="118"/>
      <c r="E160" s="118"/>
      <c r="F160" s="118">
        <f t="shared" si="16"/>
        <v>0</v>
      </c>
      <c r="G160" s="118"/>
      <c r="H160" s="118"/>
    </row>
    <row r="161" spans="1:11" hidden="1">
      <c r="A161" s="117"/>
      <c r="B161" s="672"/>
      <c r="C161" s="673"/>
      <c r="D161" s="118"/>
      <c r="E161" s="118"/>
      <c r="F161" s="118">
        <f t="shared" si="16"/>
        <v>0</v>
      </c>
      <c r="G161" s="118"/>
      <c r="H161" s="118"/>
    </row>
    <row r="162" spans="1:11" s="156" customFormat="1" hidden="1">
      <c r="A162" s="154"/>
      <c r="B162" s="681" t="s">
        <v>215</v>
      </c>
      <c r="C162" s="682"/>
      <c r="D162" s="155"/>
      <c r="E162" s="155"/>
      <c r="F162" s="155">
        <f>SUM(F144:F161)</f>
        <v>0</v>
      </c>
      <c r="G162" s="155">
        <f t="shared" ref="G162:H162" si="17">SUM(G144:G161)</f>
        <v>0</v>
      </c>
      <c r="H162" s="155">
        <f t="shared" si="17"/>
        <v>0</v>
      </c>
      <c r="I162" s="159"/>
      <c r="J162" s="159"/>
      <c r="K162" s="159"/>
    </row>
    <row r="163" spans="1:11" hidden="1"/>
    <row r="164" spans="1:11" s="66" customFormat="1" ht="14.25" hidden="1">
      <c r="A164" s="66" t="s">
        <v>261</v>
      </c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</row>
    <row r="165" spans="1:11" hidden="1"/>
    <row r="166" spans="1:11" ht="48.75" hidden="1">
      <c r="A166" s="119" t="s">
        <v>217</v>
      </c>
      <c r="B166" s="670" t="s">
        <v>236</v>
      </c>
      <c r="C166" s="671"/>
      <c r="D166" s="113" t="s">
        <v>259</v>
      </c>
      <c r="E166" s="113" t="s">
        <v>260</v>
      </c>
      <c r="F166" s="113" t="s">
        <v>299</v>
      </c>
      <c r="G166" s="113" t="s">
        <v>300</v>
      </c>
      <c r="H166" s="113" t="s">
        <v>301</v>
      </c>
    </row>
    <row r="167" spans="1:11" hidden="1">
      <c r="A167" s="115">
        <v>1</v>
      </c>
      <c r="B167" s="672">
        <v>2</v>
      </c>
      <c r="C167" s="673"/>
      <c r="D167" s="115">
        <v>3</v>
      </c>
      <c r="E167" s="115">
        <v>4</v>
      </c>
      <c r="F167" s="115">
        <v>5</v>
      </c>
      <c r="G167" s="115">
        <v>6</v>
      </c>
      <c r="H167" s="115">
        <v>7</v>
      </c>
    </row>
    <row r="168" spans="1:11" hidden="1">
      <c r="A168" s="117">
        <v>1</v>
      </c>
      <c r="B168" s="672" t="s">
        <v>357</v>
      </c>
      <c r="C168" s="673"/>
      <c r="D168" s="118"/>
      <c r="E168" s="118"/>
      <c r="F168" s="118">
        <f>E168*D168</f>
        <v>0</v>
      </c>
      <c r="G168" s="118"/>
      <c r="H168" s="118"/>
    </row>
    <row r="169" spans="1:11" hidden="1">
      <c r="A169" s="117"/>
      <c r="B169" s="672" t="s">
        <v>358</v>
      </c>
      <c r="C169" s="673"/>
      <c r="D169" s="118"/>
      <c r="E169" s="118"/>
      <c r="F169" s="118">
        <f t="shared" ref="F169:F187" si="18">E169*D169</f>
        <v>0</v>
      </c>
      <c r="G169" s="118"/>
      <c r="H169" s="118"/>
    </row>
    <row r="170" spans="1:11" hidden="1">
      <c r="A170" s="117"/>
      <c r="B170" s="672" t="s">
        <v>359</v>
      </c>
      <c r="C170" s="673"/>
      <c r="D170" s="118">
        <v>0</v>
      </c>
      <c r="E170" s="118">
        <v>14400</v>
      </c>
      <c r="F170" s="118">
        <f t="shared" si="18"/>
        <v>0</v>
      </c>
      <c r="G170" s="118"/>
      <c r="H170" s="118"/>
    </row>
    <row r="171" spans="1:11" hidden="1">
      <c r="A171" s="117"/>
      <c r="B171" s="294"/>
      <c r="C171" s="295"/>
      <c r="D171" s="118"/>
      <c r="E171" s="118"/>
      <c r="F171" s="118">
        <f t="shared" si="18"/>
        <v>0</v>
      </c>
      <c r="G171" s="118"/>
      <c r="H171" s="118"/>
    </row>
    <row r="172" spans="1:11" hidden="1">
      <c r="A172" s="117"/>
      <c r="B172" s="294"/>
      <c r="C172" s="295"/>
      <c r="D172" s="118"/>
      <c r="E172" s="118"/>
      <c r="F172" s="118">
        <f t="shared" si="18"/>
        <v>0</v>
      </c>
      <c r="G172" s="118"/>
      <c r="H172" s="118"/>
    </row>
    <row r="173" spans="1:11" hidden="1">
      <c r="A173" s="117"/>
      <c r="B173" s="294"/>
      <c r="C173" s="295"/>
      <c r="D173" s="118"/>
      <c r="E173" s="118"/>
      <c r="F173" s="118">
        <f t="shared" si="18"/>
        <v>0</v>
      </c>
      <c r="G173" s="118"/>
      <c r="H173" s="118"/>
    </row>
    <row r="174" spans="1:11" hidden="1">
      <c r="A174" s="117"/>
      <c r="B174" s="294"/>
      <c r="C174" s="295"/>
      <c r="D174" s="118"/>
      <c r="E174" s="118"/>
      <c r="F174" s="118">
        <f t="shared" si="18"/>
        <v>0</v>
      </c>
      <c r="G174" s="118"/>
      <c r="H174" s="118"/>
    </row>
    <row r="175" spans="1:11" hidden="1">
      <c r="A175" s="117"/>
      <c r="B175" s="294"/>
      <c r="C175" s="295"/>
      <c r="D175" s="118"/>
      <c r="E175" s="118"/>
      <c r="F175" s="118">
        <f t="shared" si="18"/>
        <v>0</v>
      </c>
      <c r="G175" s="118"/>
      <c r="H175" s="118"/>
    </row>
    <row r="176" spans="1:11" hidden="1">
      <c r="A176" s="117"/>
      <c r="B176" s="294"/>
      <c r="C176" s="295"/>
      <c r="D176" s="118"/>
      <c r="E176" s="118"/>
      <c r="F176" s="118">
        <f t="shared" si="18"/>
        <v>0</v>
      </c>
      <c r="G176" s="118"/>
      <c r="H176" s="118"/>
    </row>
    <row r="177" spans="1:11" hidden="1">
      <c r="A177" s="117"/>
      <c r="B177" s="294"/>
      <c r="C177" s="295"/>
      <c r="D177" s="118"/>
      <c r="E177" s="118"/>
      <c r="F177" s="118">
        <f t="shared" si="18"/>
        <v>0</v>
      </c>
      <c r="G177" s="118"/>
      <c r="H177" s="118"/>
    </row>
    <row r="178" spans="1:11" hidden="1">
      <c r="A178" s="117"/>
      <c r="B178" s="294"/>
      <c r="C178" s="295"/>
      <c r="D178" s="118"/>
      <c r="E178" s="118"/>
      <c r="F178" s="118">
        <f t="shared" si="18"/>
        <v>0</v>
      </c>
      <c r="G178" s="118"/>
      <c r="H178" s="118"/>
    </row>
    <row r="179" spans="1:11" hidden="1">
      <c r="A179" s="117"/>
      <c r="B179" s="294"/>
      <c r="C179" s="295"/>
      <c r="D179" s="118"/>
      <c r="E179" s="118"/>
      <c r="F179" s="118">
        <f t="shared" si="18"/>
        <v>0</v>
      </c>
      <c r="G179" s="118"/>
      <c r="H179" s="118"/>
    </row>
    <row r="180" spans="1:11" hidden="1">
      <c r="A180" s="117"/>
      <c r="B180" s="294"/>
      <c r="C180" s="295"/>
      <c r="D180" s="118"/>
      <c r="E180" s="118"/>
      <c r="F180" s="118">
        <f t="shared" si="18"/>
        <v>0</v>
      </c>
      <c r="G180" s="118"/>
      <c r="H180" s="118"/>
    </row>
    <row r="181" spans="1:11" hidden="1">
      <c r="A181" s="117"/>
      <c r="B181" s="294"/>
      <c r="C181" s="295"/>
      <c r="D181" s="118"/>
      <c r="E181" s="118"/>
      <c r="F181" s="118">
        <f t="shared" si="18"/>
        <v>0</v>
      </c>
      <c r="G181" s="118"/>
      <c r="H181" s="118"/>
    </row>
    <row r="182" spans="1:11" hidden="1">
      <c r="A182" s="117"/>
      <c r="B182" s="294"/>
      <c r="C182" s="295"/>
      <c r="D182" s="118"/>
      <c r="E182" s="118"/>
      <c r="F182" s="118">
        <f t="shared" si="18"/>
        <v>0</v>
      </c>
      <c r="G182" s="118"/>
      <c r="H182" s="118"/>
    </row>
    <row r="183" spans="1:11" hidden="1">
      <c r="A183" s="117"/>
      <c r="B183" s="294"/>
      <c r="C183" s="295"/>
      <c r="D183" s="118"/>
      <c r="E183" s="118"/>
      <c r="F183" s="118">
        <f t="shared" si="18"/>
        <v>0</v>
      </c>
      <c r="G183" s="118"/>
      <c r="H183" s="118"/>
    </row>
    <row r="184" spans="1:11" hidden="1">
      <c r="A184" s="117"/>
      <c r="B184" s="294"/>
      <c r="C184" s="295"/>
      <c r="D184" s="118"/>
      <c r="E184" s="118"/>
      <c r="F184" s="118">
        <f t="shared" si="18"/>
        <v>0</v>
      </c>
      <c r="G184" s="118"/>
      <c r="H184" s="118"/>
    </row>
    <row r="185" spans="1:11" hidden="1">
      <c r="A185" s="117"/>
      <c r="B185" s="672"/>
      <c r="C185" s="673"/>
      <c r="D185" s="118"/>
      <c r="E185" s="118"/>
      <c r="F185" s="118">
        <f t="shared" si="18"/>
        <v>0</v>
      </c>
      <c r="G185" s="118"/>
      <c r="H185" s="118"/>
    </row>
    <row r="186" spans="1:11" hidden="1">
      <c r="A186" s="117"/>
      <c r="B186" s="672"/>
      <c r="C186" s="673"/>
      <c r="D186" s="118"/>
      <c r="E186" s="118"/>
      <c r="F186" s="118">
        <f t="shared" si="18"/>
        <v>0</v>
      </c>
      <c r="G186" s="118"/>
      <c r="H186" s="118"/>
    </row>
    <row r="187" spans="1:11" hidden="1">
      <c r="A187" s="117"/>
      <c r="B187" s="672"/>
      <c r="C187" s="673"/>
      <c r="D187" s="118"/>
      <c r="E187" s="118"/>
      <c r="F187" s="118">
        <f t="shared" si="18"/>
        <v>0</v>
      </c>
      <c r="G187" s="118"/>
      <c r="H187" s="118"/>
    </row>
    <row r="188" spans="1:11" s="156" customFormat="1" hidden="1">
      <c r="A188" s="154"/>
      <c r="B188" s="681" t="s">
        <v>215</v>
      </c>
      <c r="C188" s="682"/>
      <c r="D188" s="155"/>
      <c r="E188" s="155"/>
      <c r="F188" s="155">
        <f>SUM(F168:F187)</f>
        <v>0</v>
      </c>
      <c r="G188" s="155">
        <f t="shared" ref="G188:H188" si="19">SUM(G168:G187)</f>
        <v>0</v>
      </c>
      <c r="H188" s="155">
        <f t="shared" si="19"/>
        <v>0</v>
      </c>
      <c r="I188" s="159"/>
      <c r="J188" s="159"/>
      <c r="K188" s="159"/>
    </row>
    <row r="189" spans="1:11" hidden="1"/>
    <row r="190" spans="1:11" s="66" customFormat="1" ht="14.25">
      <c r="A190" s="66" t="s">
        <v>262</v>
      </c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</row>
    <row r="192" spans="1:11" ht="24.75">
      <c r="A192" s="360" t="s">
        <v>217</v>
      </c>
      <c r="B192" s="670" t="s">
        <v>236</v>
      </c>
      <c r="C192" s="671"/>
      <c r="D192" s="113" t="s">
        <v>255</v>
      </c>
      <c r="E192" s="113" t="s">
        <v>260</v>
      </c>
      <c r="F192" s="113" t="s">
        <v>299</v>
      </c>
      <c r="G192" s="113" t="s">
        <v>300</v>
      </c>
      <c r="H192" s="113" t="s">
        <v>301</v>
      </c>
    </row>
    <row r="193" spans="1:8">
      <c r="A193" s="115">
        <v>1</v>
      </c>
      <c r="B193" s="672">
        <v>2</v>
      </c>
      <c r="C193" s="673"/>
      <c r="D193" s="115">
        <v>3</v>
      </c>
      <c r="E193" s="115">
        <v>4</v>
      </c>
      <c r="F193" s="115">
        <v>5</v>
      </c>
      <c r="G193" s="115">
        <v>6</v>
      </c>
      <c r="H193" s="115">
        <v>7</v>
      </c>
    </row>
    <row r="194" spans="1:8">
      <c r="A194" s="117">
        <v>1</v>
      </c>
      <c r="B194" s="672"/>
      <c r="C194" s="673"/>
      <c r="D194" s="118"/>
      <c r="E194" s="118"/>
      <c r="F194" s="118">
        <f>D194*E194</f>
        <v>0</v>
      </c>
      <c r="G194" s="118"/>
      <c r="H194" s="118"/>
    </row>
    <row r="195" spans="1:8">
      <c r="A195" s="121"/>
      <c r="B195" s="705" t="s">
        <v>490</v>
      </c>
      <c r="C195" s="706"/>
      <c r="D195" s="118"/>
      <c r="E195" s="157">
        <v>152023.07999999999</v>
      </c>
      <c r="F195" s="157">
        <v>152023.07999999999</v>
      </c>
      <c r="G195" s="157">
        <v>152023.07999999999</v>
      </c>
      <c r="H195" s="157">
        <v>152023.07999999999</v>
      </c>
    </row>
    <row r="196" spans="1:8">
      <c r="A196" s="121"/>
      <c r="B196" s="358" t="s">
        <v>533</v>
      </c>
      <c r="C196" s="295"/>
      <c r="D196" s="118"/>
      <c r="E196" s="157"/>
      <c r="F196" s="157"/>
      <c r="G196" s="157"/>
      <c r="H196" s="157"/>
    </row>
    <row r="197" spans="1:8">
      <c r="A197" s="121"/>
      <c r="B197" s="359" t="s">
        <v>491</v>
      </c>
      <c r="C197" s="295"/>
      <c r="D197" s="118"/>
      <c r="E197" s="157">
        <v>920167.92</v>
      </c>
      <c r="F197" s="157">
        <v>920167.92</v>
      </c>
      <c r="G197" s="157">
        <v>920167.92</v>
      </c>
      <c r="H197" s="157">
        <v>920167.92</v>
      </c>
    </row>
    <row r="198" spans="1:8">
      <c r="A198" s="121"/>
      <c r="B198" s="358" t="s">
        <v>534</v>
      </c>
      <c r="C198" s="295"/>
      <c r="D198" s="118"/>
      <c r="E198" s="157"/>
      <c r="F198" s="157"/>
      <c r="G198" s="157"/>
      <c r="H198" s="157"/>
    </row>
    <row r="199" spans="1:8">
      <c r="A199" s="121"/>
      <c r="B199" s="707" t="s">
        <v>492</v>
      </c>
      <c r="C199" s="708"/>
      <c r="D199" s="118"/>
      <c r="E199" s="157">
        <f>19680+67896</f>
        <v>87576</v>
      </c>
      <c r="F199" s="157">
        <v>87576</v>
      </c>
      <c r="G199" s="157">
        <v>87576</v>
      </c>
      <c r="H199" s="157">
        <v>87576</v>
      </c>
    </row>
    <row r="200" spans="1:8">
      <c r="A200" s="121"/>
      <c r="B200" s="358" t="s">
        <v>535</v>
      </c>
      <c r="C200" s="295"/>
      <c r="D200" s="118"/>
      <c r="E200" s="157"/>
      <c r="F200" s="157"/>
      <c r="G200" s="157"/>
      <c r="H200" s="157"/>
    </row>
    <row r="201" spans="1:8">
      <c r="A201" s="121"/>
      <c r="B201" s="358" t="s">
        <v>536</v>
      </c>
      <c r="C201" s="295"/>
      <c r="D201" s="118"/>
      <c r="E201" s="157"/>
      <c r="F201" s="157"/>
      <c r="G201" s="157"/>
      <c r="H201" s="157"/>
    </row>
    <row r="202" spans="1:8">
      <c r="A202" s="121"/>
      <c r="B202" s="359" t="s">
        <v>493</v>
      </c>
      <c r="C202" s="295"/>
      <c r="D202" s="118"/>
      <c r="E202" s="157">
        <f>49200+248952</f>
        <v>298152</v>
      </c>
      <c r="F202" s="157">
        <v>298152</v>
      </c>
      <c r="G202" s="157">
        <v>298152</v>
      </c>
      <c r="H202" s="157">
        <v>298152</v>
      </c>
    </row>
    <row r="203" spans="1:8">
      <c r="A203" s="121"/>
      <c r="B203" s="358" t="s">
        <v>537</v>
      </c>
      <c r="C203" s="295"/>
      <c r="D203" s="118"/>
      <c r="E203" s="157"/>
      <c r="F203" s="157"/>
      <c r="G203" s="157"/>
      <c r="H203" s="157"/>
    </row>
    <row r="204" spans="1:8">
      <c r="A204" s="121"/>
      <c r="B204" s="358" t="s">
        <v>538</v>
      </c>
      <c r="C204" s="295"/>
      <c r="D204" s="118"/>
      <c r="E204" s="157"/>
      <c r="F204" s="157"/>
      <c r="G204" s="157"/>
      <c r="H204" s="157"/>
    </row>
    <row r="205" spans="1:8">
      <c r="A205" s="121"/>
      <c r="B205" s="359" t="s">
        <v>494</v>
      </c>
      <c r="C205" s="295"/>
      <c r="D205" s="118"/>
      <c r="E205" s="157">
        <v>45264</v>
      </c>
      <c r="F205" s="157">
        <v>45264</v>
      </c>
      <c r="G205" s="157">
        <v>45264</v>
      </c>
      <c r="H205" s="157">
        <v>45264</v>
      </c>
    </row>
    <row r="206" spans="1:8">
      <c r="A206" s="121"/>
      <c r="B206" s="358" t="s">
        <v>539</v>
      </c>
      <c r="C206" s="295"/>
      <c r="D206" s="118"/>
      <c r="E206" s="157"/>
      <c r="F206" s="157"/>
      <c r="G206" s="157"/>
      <c r="H206" s="157"/>
    </row>
    <row r="207" spans="1:8">
      <c r="A207" s="121"/>
      <c r="B207" s="359" t="s">
        <v>495</v>
      </c>
      <c r="C207" s="295"/>
      <c r="D207" s="118"/>
      <c r="E207" s="157">
        <f>19680+67896</f>
        <v>87576</v>
      </c>
      <c r="F207" s="157">
        <v>87576</v>
      </c>
      <c r="G207" s="157">
        <v>87576</v>
      </c>
      <c r="H207" s="157">
        <v>87576</v>
      </c>
    </row>
    <row r="208" spans="1:8">
      <c r="A208" s="121"/>
      <c r="B208" s="358" t="s">
        <v>540</v>
      </c>
      <c r="C208" s="295"/>
      <c r="D208" s="118"/>
      <c r="E208" s="157"/>
      <c r="F208" s="157"/>
      <c r="G208" s="157"/>
      <c r="H208" s="157"/>
    </row>
    <row r="209" spans="1:21">
      <c r="A209" s="121"/>
      <c r="B209" s="358" t="s">
        <v>541</v>
      </c>
      <c r="C209" s="295"/>
      <c r="D209" s="118"/>
      <c r="E209" s="157"/>
      <c r="F209" s="157"/>
      <c r="G209" s="157"/>
      <c r="H209" s="157"/>
    </row>
    <row r="210" spans="1:21" s="156" customFormat="1">
      <c r="A210" s="154"/>
      <c r="B210" s="681" t="s">
        <v>215</v>
      </c>
      <c r="C210" s="682"/>
      <c r="D210" s="155"/>
      <c r="E210" s="158"/>
      <c r="F210" s="158">
        <f>SUM(F194:F209)</f>
        <v>1590759</v>
      </c>
      <c r="G210" s="158">
        <f>SUM(G194:G209)</f>
        <v>1590759</v>
      </c>
      <c r="H210" s="158">
        <f>SUM(H194:H209)</f>
        <v>1590759</v>
      </c>
      <c r="I210" s="159"/>
      <c r="J210" s="159"/>
      <c r="K210" s="159"/>
    </row>
    <row r="211" spans="1:21" ht="15.75" thickBot="1"/>
    <row r="212" spans="1:21" ht="15.75" thickBot="1">
      <c r="A212" s="122"/>
      <c r="B212" s="694" t="s">
        <v>263</v>
      </c>
      <c r="C212" s="695"/>
      <c r="D212" s="695"/>
      <c r="E212" s="696"/>
      <c r="F212" s="161">
        <f>F210+F188+F162+F138+G126+F114+G102+F89+F77+F65+F40+I28</f>
        <v>1590759</v>
      </c>
      <c r="G212" s="161">
        <f>G210+G188+G162+G138+H126+G114+H102+G89+G77+G65+G40+J28</f>
        <v>1590759</v>
      </c>
      <c r="H212" s="161">
        <f>H210+H188+H162+H138+I126+H114+I102+H89+H77+H65+H40+K28</f>
        <v>1590759</v>
      </c>
    </row>
    <row r="216" spans="1:21" s="335" customFormat="1" ht="20.25" customHeight="1">
      <c r="A216" s="697" t="s">
        <v>179</v>
      </c>
      <c r="B216" s="697"/>
      <c r="C216" s="697"/>
      <c r="D216" s="328" t="s">
        <v>401</v>
      </c>
      <c r="E216" s="123"/>
      <c r="F216" s="328"/>
      <c r="G216" s="123"/>
      <c r="H216" s="328" t="s">
        <v>505</v>
      </c>
      <c r="I216" s="328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4"/>
    </row>
    <row r="217" spans="1:21" s="335" customFormat="1" ht="20.25" customHeight="1">
      <c r="A217" s="697" t="s">
        <v>180</v>
      </c>
      <c r="B217" s="697"/>
      <c r="C217" s="697"/>
      <c r="D217" s="125" t="s">
        <v>264</v>
      </c>
      <c r="E217" s="126"/>
      <c r="F217" s="125" t="s">
        <v>265</v>
      </c>
      <c r="G217" s="126"/>
      <c r="H217" s="337" t="s">
        <v>266</v>
      </c>
      <c r="I217" s="337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4"/>
    </row>
    <row r="218" spans="1:21" s="335" customFormat="1">
      <c r="A218" s="336"/>
    </row>
    <row r="219" spans="1:21" s="335" customFormat="1" ht="30" customHeight="1">
      <c r="A219" s="698" t="s">
        <v>182</v>
      </c>
      <c r="B219" s="698"/>
      <c r="C219"/>
      <c r="D219" s="328" t="s">
        <v>515</v>
      </c>
      <c r="E219"/>
      <c r="F219" s="328"/>
      <c r="G219"/>
      <c r="H219" s="328" t="s">
        <v>519</v>
      </c>
      <c r="I219" s="328"/>
      <c r="J219" s="658" t="s">
        <v>488</v>
      </c>
      <c r="K219" s="658"/>
    </row>
    <row r="220" spans="1:21" s="335" customFormat="1">
      <c r="C220"/>
      <c r="D220" s="125" t="s">
        <v>267</v>
      </c>
      <c r="E220"/>
      <c r="F220" s="125" t="s">
        <v>265</v>
      </c>
      <c r="G220"/>
      <c r="H220" s="337" t="s">
        <v>266</v>
      </c>
      <c r="I220" s="337"/>
      <c r="J220" s="646" t="s">
        <v>183</v>
      </c>
      <c r="K220" s="646"/>
    </row>
    <row r="221" spans="1:21" s="335" customFormat="1">
      <c r="G221"/>
      <c r="H221"/>
      <c r="I221"/>
      <c r="J221"/>
    </row>
    <row r="222" spans="1:21" s="335" customFormat="1">
      <c r="A222" s="698" t="s">
        <v>489</v>
      </c>
      <c r="B222" s="698"/>
      <c r="C222" s="698"/>
      <c r="D222" s="698"/>
      <c r="E222" s="698"/>
    </row>
  </sheetData>
  <mergeCells count="117">
    <mergeCell ref="J219:K219"/>
    <mergeCell ref="J220:K220"/>
    <mergeCell ref="A222:E222"/>
    <mergeCell ref="A1:K1"/>
    <mergeCell ref="A4:K4"/>
    <mergeCell ref="A6:B6"/>
    <mergeCell ref="A8:C8"/>
    <mergeCell ref="B46:D46"/>
    <mergeCell ref="B47:D47"/>
    <mergeCell ref="B48:D48"/>
    <mergeCell ref="B49:D49"/>
    <mergeCell ref="B50:D50"/>
    <mergeCell ref="B51:D51"/>
    <mergeCell ref="J13:J15"/>
    <mergeCell ref="K13:K15"/>
    <mergeCell ref="D14:D15"/>
    <mergeCell ref="A42:H42"/>
    <mergeCell ref="B44:D44"/>
    <mergeCell ref="B45:D45"/>
    <mergeCell ref="A13:A15"/>
    <mergeCell ref="B13:B15"/>
    <mergeCell ref="C13:C15"/>
    <mergeCell ref="B70:C70"/>
    <mergeCell ref="B71:C71"/>
    <mergeCell ref="B72:C72"/>
    <mergeCell ref="B73:C73"/>
    <mergeCell ref="B74:C74"/>
    <mergeCell ref="B75:C75"/>
    <mergeCell ref="D13:G13"/>
    <mergeCell ref="H13:H15"/>
    <mergeCell ref="I13:I15"/>
    <mergeCell ref="B61:C61"/>
    <mergeCell ref="B62:C62"/>
    <mergeCell ref="B63:C63"/>
    <mergeCell ref="B64:C64"/>
    <mergeCell ref="B65:C65"/>
    <mergeCell ref="B69:C69"/>
    <mergeCell ref="B52:D52"/>
    <mergeCell ref="B53:D53"/>
    <mergeCell ref="B57:C57"/>
    <mergeCell ref="B58:C58"/>
    <mergeCell ref="B59:C59"/>
    <mergeCell ref="B60:C60"/>
    <mergeCell ref="B84:C84"/>
    <mergeCell ref="B85:C85"/>
    <mergeCell ref="B86:C86"/>
    <mergeCell ref="B87:C87"/>
    <mergeCell ref="B88:C88"/>
    <mergeCell ref="B89:C89"/>
    <mergeCell ref="B76:C76"/>
    <mergeCell ref="B77:C77"/>
    <mergeCell ref="A79:H79"/>
    <mergeCell ref="B81:C81"/>
    <mergeCell ref="B82:C82"/>
    <mergeCell ref="B83:C83"/>
    <mergeCell ref="B102:C102"/>
    <mergeCell ref="B106:C106"/>
    <mergeCell ref="B107:C107"/>
    <mergeCell ref="B108:C108"/>
    <mergeCell ref="B109:C109"/>
    <mergeCell ref="B110:C110"/>
    <mergeCell ref="B94:C94"/>
    <mergeCell ref="B95:C95"/>
    <mergeCell ref="B96:C96"/>
    <mergeCell ref="B97:C97"/>
    <mergeCell ref="B100:C100"/>
    <mergeCell ref="B101:C101"/>
    <mergeCell ref="B120:C120"/>
    <mergeCell ref="B121:C121"/>
    <mergeCell ref="B122:C122"/>
    <mergeCell ref="B123:C123"/>
    <mergeCell ref="B124:C124"/>
    <mergeCell ref="B125:C125"/>
    <mergeCell ref="B111:C111"/>
    <mergeCell ref="B112:C112"/>
    <mergeCell ref="B113:C113"/>
    <mergeCell ref="B114:C114"/>
    <mergeCell ref="B118:C118"/>
    <mergeCell ref="B119:C119"/>
    <mergeCell ref="B135:C135"/>
    <mergeCell ref="B136:C136"/>
    <mergeCell ref="B137:C137"/>
    <mergeCell ref="B138:C138"/>
    <mergeCell ref="B142:C142"/>
    <mergeCell ref="B143:C143"/>
    <mergeCell ref="B126:C126"/>
    <mergeCell ref="B130:C130"/>
    <mergeCell ref="B131:C131"/>
    <mergeCell ref="B132:C132"/>
    <mergeCell ref="B133:C133"/>
    <mergeCell ref="B134:C134"/>
    <mergeCell ref="B162:C162"/>
    <mergeCell ref="B166:C166"/>
    <mergeCell ref="B167:C167"/>
    <mergeCell ref="B168:C168"/>
    <mergeCell ref="B169:C169"/>
    <mergeCell ref="B170:C170"/>
    <mergeCell ref="B144:C144"/>
    <mergeCell ref="B145:C145"/>
    <mergeCell ref="B158:C158"/>
    <mergeCell ref="B159:C159"/>
    <mergeCell ref="B160:C160"/>
    <mergeCell ref="B161:C161"/>
    <mergeCell ref="A217:C217"/>
    <mergeCell ref="A219:B219"/>
    <mergeCell ref="B194:C194"/>
    <mergeCell ref="B195:C195"/>
    <mergeCell ref="B199:C199"/>
    <mergeCell ref="B210:C210"/>
    <mergeCell ref="B212:E212"/>
    <mergeCell ref="A216:C216"/>
    <mergeCell ref="B185:C185"/>
    <mergeCell ref="B186:C186"/>
    <mergeCell ref="B187:C187"/>
    <mergeCell ref="B188:C188"/>
    <mergeCell ref="B192:C192"/>
    <mergeCell ref="B193:C193"/>
  </mergeCells>
  <pageMargins left="0.7" right="0.7" top="0.75" bottom="0.75" header="0.3" footer="0.3"/>
  <pageSetup paperSize="9" scale="57" orientation="portrait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28"/>
  <sheetViews>
    <sheetView view="pageBreakPreview" zoomScaleSheetLayoutView="100" workbookViewId="0">
      <selection activeCell="K218" sqref="K218"/>
    </sheetView>
  </sheetViews>
  <sheetFormatPr defaultColWidth="9.140625" defaultRowHeight="15"/>
  <cols>
    <col min="1" max="1" width="8.85546875" style="18" customWidth="1"/>
    <col min="2" max="2" width="17.7109375" style="109" customWidth="1"/>
    <col min="3" max="3" width="14.28515625" style="109" customWidth="1"/>
    <col min="4" max="11" width="14" style="109" customWidth="1"/>
    <col min="12" max="12" width="17.7109375" style="18" customWidth="1"/>
    <col min="13" max="16384" width="9.140625" style="18"/>
  </cols>
  <sheetData>
    <row r="1" spans="1:11" ht="36" customHeight="1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>
      <c r="A6" s="482" t="s">
        <v>203</v>
      </c>
      <c r="B6" s="482"/>
      <c r="C6" s="277">
        <v>1211821190</v>
      </c>
    </row>
    <row r="8" spans="1:11">
      <c r="A8" s="482" t="s">
        <v>204</v>
      </c>
      <c r="B8" s="482"/>
      <c r="C8" s="482"/>
      <c r="D8" s="278" t="s">
        <v>497</v>
      </c>
    </row>
    <row r="9" spans="1:11">
      <c r="A9" s="287"/>
      <c r="B9" s="287"/>
      <c r="C9" s="287"/>
    </row>
    <row r="10" spans="1:11" hidden="1">
      <c r="A10" s="110" t="s">
        <v>205</v>
      </c>
      <c r="B10" s="111"/>
      <c r="C10" s="111"/>
      <c r="D10" s="111"/>
    </row>
    <row r="11" spans="1:11" hidden="1">
      <c r="A11" s="110" t="s">
        <v>206</v>
      </c>
      <c r="B11" s="111"/>
      <c r="C11" s="111"/>
      <c r="D11" s="111"/>
    </row>
    <row r="12" spans="1:11" hidden="1"/>
    <row r="13" spans="1:11" s="112" customFormat="1" ht="12" hidden="1">
      <c r="A13" s="669"/>
      <c r="B13" s="668" t="s">
        <v>207</v>
      </c>
      <c r="C13" s="668" t="s">
        <v>208</v>
      </c>
      <c r="D13" s="668" t="s">
        <v>209</v>
      </c>
      <c r="E13" s="668"/>
      <c r="F13" s="668"/>
      <c r="G13" s="668"/>
      <c r="H13" s="668" t="s">
        <v>210</v>
      </c>
      <c r="I13" s="668" t="s">
        <v>305</v>
      </c>
      <c r="J13" s="668" t="s">
        <v>306</v>
      </c>
      <c r="K13" s="668" t="s">
        <v>307</v>
      </c>
    </row>
    <row r="14" spans="1:11" s="112" customFormat="1" ht="12" hidden="1">
      <c r="A14" s="669"/>
      <c r="B14" s="668"/>
      <c r="C14" s="668"/>
      <c r="D14" s="669" t="s">
        <v>211</v>
      </c>
      <c r="E14" s="293" t="s">
        <v>29</v>
      </c>
      <c r="F14" s="293"/>
      <c r="G14" s="293"/>
      <c r="H14" s="668"/>
      <c r="I14" s="668"/>
      <c r="J14" s="668"/>
      <c r="K14" s="668"/>
    </row>
    <row r="15" spans="1:11" s="114" customFormat="1" ht="36" hidden="1">
      <c r="A15" s="669"/>
      <c r="B15" s="668"/>
      <c r="C15" s="668"/>
      <c r="D15" s="669"/>
      <c r="E15" s="113" t="s">
        <v>212</v>
      </c>
      <c r="F15" s="113" t="s">
        <v>213</v>
      </c>
      <c r="G15" s="113" t="s">
        <v>214</v>
      </c>
      <c r="H15" s="668"/>
      <c r="I15" s="668"/>
      <c r="J15" s="668"/>
      <c r="K15" s="668"/>
    </row>
    <row r="16" spans="1:11" s="116" customFormat="1" hidden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 hidden="1">
      <c r="A17" s="115"/>
      <c r="B17" s="115" t="s">
        <v>364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24.75" hidden="1">
      <c r="A18" s="117">
        <v>1</v>
      </c>
      <c r="B18" s="113" t="s">
        <v>302</v>
      </c>
      <c r="C18" s="118"/>
      <c r="D18" s="118">
        <f>E18+F18+G18</f>
        <v>0</v>
      </c>
      <c r="E18" s="118"/>
      <c r="F18" s="118"/>
      <c r="G18" s="118"/>
      <c r="H18" s="118"/>
      <c r="I18" s="118">
        <f>C18*D18+H18</f>
        <v>0</v>
      </c>
      <c r="J18" s="118"/>
      <c r="K18" s="118"/>
    </row>
    <row r="19" spans="1:11" hidden="1">
      <c r="A19" s="117">
        <v>2</v>
      </c>
      <c r="B19" s="113" t="s">
        <v>303</v>
      </c>
      <c r="C19" s="118"/>
      <c r="D19" s="118">
        <f t="shared" ref="D19:D27" si="0">E19+F19+G19</f>
        <v>0</v>
      </c>
      <c r="E19" s="118"/>
      <c r="F19" s="118"/>
      <c r="G19" s="118"/>
      <c r="H19" s="118"/>
      <c r="I19" s="118">
        <f t="shared" ref="I19:I27" si="1">C19*D19+H19</f>
        <v>0</v>
      </c>
      <c r="J19" s="118"/>
      <c r="K19" s="118"/>
    </row>
    <row r="20" spans="1:11" hidden="1">
      <c r="A20" s="117">
        <v>3</v>
      </c>
      <c r="B20" s="113" t="s">
        <v>304</v>
      </c>
      <c r="C20" s="118">
        <v>0</v>
      </c>
      <c r="D20" s="118">
        <f t="shared" si="0"/>
        <v>0</v>
      </c>
      <c r="E20" s="118">
        <v>0</v>
      </c>
      <c r="F20" s="118">
        <v>0</v>
      </c>
      <c r="G20" s="118">
        <v>0</v>
      </c>
      <c r="H20" s="118"/>
      <c r="I20" s="157">
        <f>ROUND((C20*D20+H20)*12,0)</f>
        <v>0</v>
      </c>
      <c r="J20" s="157"/>
      <c r="K20" s="157"/>
    </row>
    <row r="21" spans="1:11" hidden="1">
      <c r="A21" s="115"/>
      <c r="B21" s="115"/>
      <c r="C21" s="115"/>
      <c r="D21" s="118">
        <f t="shared" si="0"/>
        <v>0</v>
      </c>
      <c r="E21" s="118"/>
      <c r="F21" s="118"/>
      <c r="G21" s="118"/>
      <c r="H21" s="118"/>
      <c r="I21" s="157">
        <f t="shared" si="1"/>
        <v>0</v>
      </c>
      <c r="J21" s="157"/>
      <c r="K21" s="157"/>
    </row>
    <row r="22" spans="1:11" hidden="1">
      <c r="A22" s="117"/>
      <c r="B22" s="153"/>
      <c r="C22" s="118"/>
      <c r="D22" s="118">
        <f t="shared" si="0"/>
        <v>0</v>
      </c>
      <c r="E22" s="118"/>
      <c r="F22" s="118"/>
      <c r="G22" s="118"/>
      <c r="H22" s="118"/>
      <c r="I22" s="157">
        <f t="shared" si="1"/>
        <v>0</v>
      </c>
      <c r="J22" s="157"/>
      <c r="K22" s="157"/>
    </row>
    <row r="23" spans="1:11" hidden="1">
      <c r="A23" s="117"/>
      <c r="B23" s="153"/>
      <c r="C23" s="118"/>
      <c r="D23" s="118">
        <f t="shared" si="0"/>
        <v>0</v>
      </c>
      <c r="E23" s="118"/>
      <c r="F23" s="118"/>
      <c r="G23" s="118"/>
      <c r="H23" s="118"/>
      <c r="I23" s="157">
        <f t="shared" si="1"/>
        <v>0</v>
      </c>
      <c r="J23" s="157"/>
      <c r="K23" s="157"/>
    </row>
    <row r="24" spans="1:11" hidden="1">
      <c r="A24" s="117"/>
      <c r="B24" s="153"/>
      <c r="C24" s="118"/>
      <c r="D24" s="118">
        <f t="shared" si="0"/>
        <v>0</v>
      </c>
      <c r="E24" s="118"/>
      <c r="F24" s="118"/>
      <c r="G24" s="118"/>
      <c r="H24" s="118"/>
      <c r="I24" s="157">
        <f t="shared" si="1"/>
        <v>0</v>
      </c>
      <c r="J24" s="157"/>
      <c r="K24" s="157"/>
    </row>
    <row r="25" spans="1:11" hidden="1">
      <c r="A25" s="117"/>
      <c r="B25" s="153"/>
      <c r="C25" s="118"/>
      <c r="D25" s="118">
        <f t="shared" si="0"/>
        <v>0</v>
      </c>
      <c r="E25" s="118"/>
      <c r="F25" s="118"/>
      <c r="G25" s="118"/>
      <c r="H25" s="118"/>
      <c r="I25" s="157">
        <f t="shared" si="1"/>
        <v>0</v>
      </c>
      <c r="J25" s="157"/>
      <c r="K25" s="157"/>
    </row>
    <row r="26" spans="1:11" hidden="1">
      <c r="A26" s="117"/>
      <c r="B26" s="153"/>
      <c r="C26" s="118"/>
      <c r="D26" s="118">
        <f t="shared" si="0"/>
        <v>0</v>
      </c>
      <c r="E26" s="118"/>
      <c r="F26" s="118"/>
      <c r="G26" s="118"/>
      <c r="H26" s="118"/>
      <c r="I26" s="157">
        <f t="shared" si="1"/>
        <v>0</v>
      </c>
      <c r="J26" s="157"/>
      <c r="K26" s="157"/>
    </row>
    <row r="27" spans="1:11" hidden="1">
      <c r="A27" s="117"/>
      <c r="B27" s="153"/>
      <c r="C27" s="118"/>
      <c r="D27" s="118">
        <f t="shared" si="0"/>
        <v>0</v>
      </c>
      <c r="E27" s="118"/>
      <c r="F27" s="118"/>
      <c r="G27" s="118"/>
      <c r="H27" s="118"/>
      <c r="I27" s="157">
        <f t="shared" si="1"/>
        <v>0</v>
      </c>
      <c r="J27" s="157"/>
      <c r="K27" s="157"/>
    </row>
    <row r="28" spans="1:11" s="156" customFormat="1" hidden="1">
      <c r="A28" s="154" t="s">
        <v>215</v>
      </c>
      <c r="B28" s="155"/>
      <c r="C28" s="155"/>
      <c r="D28" s="155"/>
      <c r="E28" s="155"/>
      <c r="F28" s="155"/>
      <c r="G28" s="155"/>
      <c r="H28" s="155"/>
      <c r="I28" s="158">
        <f>SUM(I18:I27)</f>
        <v>0</v>
      </c>
      <c r="J28" s="158">
        <f t="shared" ref="J28:K28" si="2">SUM(J18:J27)</f>
        <v>0</v>
      </c>
      <c r="K28" s="158">
        <f t="shared" si="2"/>
        <v>0</v>
      </c>
    </row>
    <row r="29" spans="1:11" hidden="1"/>
    <row r="30" spans="1:11" s="66" customFormat="1" ht="14.25" hidden="1">
      <c r="A30" s="66" t="s">
        <v>216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idden="1"/>
    <row r="32" spans="1:11" s="112" customFormat="1" ht="48" hidden="1">
      <c r="A32" s="119" t="s">
        <v>217</v>
      </c>
      <c r="B32" s="113" t="s">
        <v>218</v>
      </c>
      <c r="C32" s="113" t="s">
        <v>219</v>
      </c>
      <c r="D32" s="113" t="s">
        <v>220</v>
      </c>
      <c r="E32" s="113" t="s">
        <v>221</v>
      </c>
      <c r="F32" s="113" t="s">
        <v>222</v>
      </c>
      <c r="G32" s="113" t="s">
        <v>222</v>
      </c>
      <c r="H32" s="113" t="s">
        <v>222</v>
      </c>
      <c r="I32" s="120"/>
      <c r="J32" s="120"/>
      <c r="K32" s="120"/>
    </row>
    <row r="33" spans="1:8" s="116" customFormat="1" hidden="1">
      <c r="A33" s="115">
        <v>1</v>
      </c>
      <c r="B33" s="115">
        <v>2</v>
      </c>
      <c r="C33" s="115">
        <v>3</v>
      </c>
      <c r="D33" s="115">
        <v>4</v>
      </c>
      <c r="E33" s="115">
        <v>5</v>
      </c>
      <c r="F33" s="115">
        <v>6</v>
      </c>
      <c r="G33" s="115">
        <v>7</v>
      </c>
      <c r="H33" s="115">
        <v>8</v>
      </c>
    </row>
    <row r="34" spans="1:8" hidden="1">
      <c r="A34" s="117"/>
      <c r="B34" s="118"/>
      <c r="C34" s="118"/>
      <c r="D34" s="118"/>
      <c r="E34" s="118"/>
      <c r="F34" s="118"/>
      <c r="G34" s="118"/>
      <c r="H34" s="118"/>
    </row>
    <row r="35" spans="1:8" hidden="1">
      <c r="A35" s="117"/>
      <c r="B35" s="118"/>
      <c r="C35" s="118"/>
      <c r="D35" s="118"/>
      <c r="E35" s="118"/>
      <c r="F35" s="118"/>
      <c r="G35" s="118"/>
      <c r="H35" s="118"/>
    </row>
    <row r="36" spans="1:8" hidden="1">
      <c r="A36" s="117"/>
      <c r="B36" s="118"/>
      <c r="C36" s="118"/>
      <c r="D36" s="118"/>
      <c r="E36" s="118"/>
      <c r="F36" s="118"/>
      <c r="G36" s="118"/>
      <c r="H36" s="118"/>
    </row>
    <row r="37" spans="1:8" hidden="1">
      <c r="A37" s="117"/>
      <c r="B37" s="118"/>
      <c r="C37" s="118"/>
      <c r="D37" s="118"/>
      <c r="E37" s="118"/>
      <c r="F37" s="118"/>
      <c r="G37" s="118"/>
      <c r="H37" s="118"/>
    </row>
    <row r="38" spans="1:8" hidden="1">
      <c r="A38" s="117"/>
      <c r="B38" s="118"/>
      <c r="C38" s="118"/>
      <c r="D38" s="118"/>
      <c r="E38" s="118"/>
      <c r="F38" s="118"/>
      <c r="G38" s="118"/>
      <c r="H38" s="118"/>
    </row>
    <row r="39" spans="1:8" hidden="1">
      <c r="A39" s="117"/>
      <c r="B39" s="118"/>
      <c r="C39" s="118"/>
      <c r="D39" s="118"/>
      <c r="E39" s="118"/>
      <c r="F39" s="118"/>
      <c r="G39" s="118"/>
      <c r="H39" s="118"/>
    </row>
    <row r="40" spans="1:8" hidden="1">
      <c r="A40" s="117"/>
      <c r="B40" s="118"/>
      <c r="C40" s="118"/>
      <c r="D40" s="118"/>
      <c r="E40" s="118"/>
      <c r="F40" s="118"/>
      <c r="G40" s="118"/>
      <c r="H40" s="118"/>
    </row>
    <row r="41" spans="1:8" hidden="1"/>
    <row r="42" spans="1:8" hidden="1">
      <c r="A42" s="674" t="s">
        <v>223</v>
      </c>
      <c r="B42" s="674"/>
      <c r="C42" s="674"/>
      <c r="D42" s="674"/>
      <c r="E42" s="674"/>
      <c r="F42" s="674"/>
      <c r="G42" s="674"/>
      <c r="H42" s="674"/>
    </row>
    <row r="43" spans="1:8" hidden="1"/>
    <row r="44" spans="1:8" ht="48.75" hidden="1">
      <c r="A44" s="119" t="s">
        <v>217</v>
      </c>
      <c r="B44" s="670" t="s">
        <v>224</v>
      </c>
      <c r="C44" s="675"/>
      <c r="D44" s="671"/>
      <c r="E44" s="113" t="s">
        <v>225</v>
      </c>
      <c r="F44" s="113" t="s">
        <v>296</v>
      </c>
      <c r="G44" s="113" t="s">
        <v>297</v>
      </c>
      <c r="H44" s="113" t="s">
        <v>298</v>
      </c>
    </row>
    <row r="45" spans="1:8" hidden="1">
      <c r="A45" s="115">
        <v>1</v>
      </c>
      <c r="B45" s="672">
        <v>2</v>
      </c>
      <c r="C45" s="676"/>
      <c r="D45" s="673"/>
      <c r="E45" s="115">
        <v>3</v>
      </c>
      <c r="F45" s="115">
        <v>4</v>
      </c>
      <c r="G45" s="115">
        <v>5</v>
      </c>
      <c r="H45" s="115">
        <v>6</v>
      </c>
    </row>
    <row r="46" spans="1:8" hidden="1">
      <c r="A46" s="117">
        <v>1</v>
      </c>
      <c r="B46" s="677" t="s">
        <v>226</v>
      </c>
      <c r="C46" s="678"/>
      <c r="D46" s="679"/>
      <c r="E46" s="157"/>
      <c r="F46" s="157">
        <f>F48</f>
        <v>0</v>
      </c>
      <c r="G46" s="157"/>
      <c r="H46" s="157"/>
    </row>
    <row r="47" spans="1:8" hidden="1">
      <c r="A47" s="117"/>
      <c r="B47" s="677" t="s">
        <v>29</v>
      </c>
      <c r="C47" s="678"/>
      <c r="D47" s="679"/>
      <c r="E47" s="157"/>
      <c r="F47" s="157"/>
      <c r="G47" s="157"/>
      <c r="H47" s="157"/>
    </row>
    <row r="48" spans="1:8" hidden="1">
      <c r="A48" s="121"/>
      <c r="B48" s="677" t="s">
        <v>227</v>
      </c>
      <c r="C48" s="678"/>
      <c r="D48" s="679"/>
      <c r="E48" s="157">
        <f>I20</f>
        <v>0</v>
      </c>
      <c r="F48" s="157">
        <f>ROUND(E48*0.22,0)</f>
        <v>0</v>
      </c>
      <c r="G48" s="157"/>
      <c r="H48" s="157"/>
    </row>
    <row r="49" spans="1:11" hidden="1">
      <c r="A49" s="117">
        <v>2</v>
      </c>
      <c r="B49" s="677" t="s">
        <v>228</v>
      </c>
      <c r="C49" s="678"/>
      <c r="D49" s="679"/>
      <c r="E49" s="157"/>
      <c r="F49" s="157">
        <f>F50+F51</f>
        <v>0</v>
      </c>
      <c r="G49" s="157"/>
      <c r="H49" s="157"/>
    </row>
    <row r="50" spans="1:11" hidden="1">
      <c r="A50" s="117"/>
      <c r="B50" s="677" t="s">
        <v>229</v>
      </c>
      <c r="C50" s="678"/>
      <c r="D50" s="679"/>
      <c r="E50" s="157">
        <f>E48</f>
        <v>0</v>
      </c>
      <c r="F50" s="157">
        <f>ROUND(E50*0.029,0)</f>
        <v>0</v>
      </c>
      <c r="G50" s="157"/>
      <c r="H50" s="157"/>
    </row>
    <row r="51" spans="1:11" hidden="1">
      <c r="A51" s="117"/>
      <c r="B51" s="677" t="s">
        <v>230</v>
      </c>
      <c r="C51" s="678"/>
      <c r="D51" s="679"/>
      <c r="E51" s="157">
        <f>E50</f>
        <v>0</v>
      </c>
      <c r="F51" s="157">
        <f>ROUND(E51*0.002,0)</f>
        <v>0</v>
      </c>
      <c r="G51" s="157"/>
      <c r="H51" s="157"/>
    </row>
    <row r="52" spans="1:11" hidden="1">
      <c r="A52" s="117">
        <v>3</v>
      </c>
      <c r="B52" s="677" t="s">
        <v>231</v>
      </c>
      <c r="C52" s="678"/>
      <c r="D52" s="679"/>
      <c r="E52" s="157">
        <f>E51</f>
        <v>0</v>
      </c>
      <c r="F52" s="157">
        <f>ROUND(E52*0.051,0)</f>
        <v>0</v>
      </c>
      <c r="G52" s="157"/>
      <c r="H52" s="157"/>
    </row>
    <row r="53" spans="1:11" s="156" customFormat="1" hidden="1">
      <c r="A53" s="154"/>
      <c r="B53" s="680" t="s">
        <v>215</v>
      </c>
      <c r="C53" s="680"/>
      <c r="D53" s="680"/>
      <c r="E53" s="158"/>
      <c r="F53" s="158">
        <f>F46+F49+F52</f>
        <v>0</v>
      </c>
      <c r="G53" s="158">
        <f t="shared" ref="G53:H53" si="3">G46+G49+G52</f>
        <v>0</v>
      </c>
      <c r="H53" s="158">
        <f t="shared" si="3"/>
        <v>0</v>
      </c>
      <c r="I53" s="159"/>
      <c r="J53" s="159"/>
      <c r="K53" s="159"/>
    </row>
    <row r="54" spans="1:11" hidden="1"/>
    <row r="55" spans="1:11" s="66" customFormat="1" ht="14.25" hidden="1">
      <c r="A55" s="66" t="s">
        <v>232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</row>
    <row r="56" spans="1:11" hidden="1"/>
    <row r="57" spans="1:11" ht="24.75" hidden="1">
      <c r="A57" s="119" t="s">
        <v>217</v>
      </c>
      <c r="B57" s="670" t="s">
        <v>0</v>
      </c>
      <c r="C57" s="671"/>
      <c r="D57" s="113" t="s">
        <v>233</v>
      </c>
      <c r="E57" s="113" t="s">
        <v>234</v>
      </c>
      <c r="F57" s="113" t="s">
        <v>299</v>
      </c>
      <c r="G57" s="113" t="s">
        <v>300</v>
      </c>
      <c r="H57" s="113" t="s">
        <v>301</v>
      </c>
    </row>
    <row r="58" spans="1:11" hidden="1">
      <c r="A58" s="115">
        <v>1</v>
      </c>
      <c r="B58" s="672">
        <v>2</v>
      </c>
      <c r="C58" s="673"/>
      <c r="D58" s="115">
        <v>3</v>
      </c>
      <c r="E58" s="115">
        <v>4</v>
      </c>
      <c r="F58" s="115">
        <v>5</v>
      </c>
      <c r="G58" s="115">
        <v>6</v>
      </c>
      <c r="H58" s="115">
        <v>7</v>
      </c>
    </row>
    <row r="59" spans="1:11" hidden="1">
      <c r="A59" s="117">
        <v>1</v>
      </c>
      <c r="B59" s="672" t="s">
        <v>308</v>
      </c>
      <c r="C59" s="673"/>
      <c r="D59" s="118">
        <v>0</v>
      </c>
      <c r="E59" s="118">
        <v>24</v>
      </c>
      <c r="F59" s="157">
        <f>D59*E59</f>
        <v>0</v>
      </c>
      <c r="G59" s="157"/>
      <c r="H59" s="157"/>
    </row>
    <row r="60" spans="1:11" hidden="1">
      <c r="A60" s="117">
        <v>2</v>
      </c>
      <c r="B60" s="672" t="s">
        <v>362</v>
      </c>
      <c r="C60" s="673"/>
      <c r="D60" s="118"/>
      <c r="E60" s="118"/>
      <c r="F60" s="157">
        <f t="shared" ref="F60:F64" si="4">D60*E60</f>
        <v>0</v>
      </c>
      <c r="G60" s="157"/>
      <c r="H60" s="157"/>
    </row>
    <row r="61" spans="1:11" hidden="1">
      <c r="A61" s="117"/>
      <c r="B61" s="672"/>
      <c r="C61" s="673"/>
      <c r="D61" s="118"/>
      <c r="E61" s="118"/>
      <c r="F61" s="157">
        <f t="shared" si="4"/>
        <v>0</v>
      </c>
      <c r="G61" s="157"/>
      <c r="H61" s="157"/>
    </row>
    <row r="62" spans="1:11" hidden="1">
      <c r="A62" s="117"/>
      <c r="B62" s="672"/>
      <c r="C62" s="673"/>
      <c r="D62" s="118"/>
      <c r="E62" s="118"/>
      <c r="F62" s="157">
        <f t="shared" si="4"/>
        <v>0</v>
      </c>
      <c r="G62" s="157"/>
      <c r="H62" s="157"/>
    </row>
    <row r="63" spans="1:11" hidden="1">
      <c r="A63" s="117"/>
      <c r="B63" s="672"/>
      <c r="C63" s="673"/>
      <c r="D63" s="118"/>
      <c r="E63" s="118"/>
      <c r="F63" s="157">
        <f t="shared" si="4"/>
        <v>0</v>
      </c>
      <c r="G63" s="157"/>
      <c r="H63" s="157"/>
    </row>
    <row r="64" spans="1:11" hidden="1">
      <c r="A64" s="117"/>
      <c r="B64" s="672"/>
      <c r="C64" s="673"/>
      <c r="D64" s="118"/>
      <c r="E64" s="118"/>
      <c r="F64" s="157">
        <f t="shared" si="4"/>
        <v>0</v>
      </c>
      <c r="G64" s="157"/>
      <c r="H64" s="157"/>
    </row>
    <row r="65" spans="1:11" s="156" customFormat="1" hidden="1">
      <c r="A65" s="154"/>
      <c r="B65" s="681" t="s">
        <v>215</v>
      </c>
      <c r="C65" s="682"/>
      <c r="D65" s="155"/>
      <c r="E65" s="155"/>
      <c r="F65" s="158">
        <f>SUM(F59:F64)</f>
        <v>0</v>
      </c>
      <c r="G65" s="158">
        <f t="shared" ref="G65:H65" si="5">SUM(G59:G64)</f>
        <v>0</v>
      </c>
      <c r="H65" s="158">
        <f t="shared" si="5"/>
        <v>0</v>
      </c>
      <c r="I65" s="159"/>
      <c r="J65" s="159"/>
      <c r="K65" s="159"/>
    </row>
    <row r="66" spans="1:11" hidden="1"/>
    <row r="67" spans="1:11" s="66" customFormat="1" ht="14.25" hidden="1">
      <c r="A67" s="66" t="s">
        <v>235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idden="1"/>
    <row r="69" spans="1:11" ht="72.75" hidden="1">
      <c r="A69" s="119" t="s">
        <v>217</v>
      </c>
      <c r="B69" s="670" t="s">
        <v>236</v>
      </c>
      <c r="C69" s="671"/>
      <c r="D69" s="113" t="s">
        <v>237</v>
      </c>
      <c r="E69" s="113" t="s">
        <v>238</v>
      </c>
      <c r="F69" s="113" t="s">
        <v>311</v>
      </c>
      <c r="G69" s="113" t="s">
        <v>312</v>
      </c>
      <c r="H69" s="113" t="s">
        <v>313</v>
      </c>
    </row>
    <row r="70" spans="1:11" hidden="1">
      <c r="A70" s="115">
        <v>1</v>
      </c>
      <c r="B70" s="672">
        <v>2</v>
      </c>
      <c r="C70" s="673"/>
      <c r="D70" s="115">
        <v>3</v>
      </c>
      <c r="E70" s="115">
        <v>4</v>
      </c>
      <c r="F70" s="115">
        <v>5</v>
      </c>
      <c r="G70" s="115">
        <v>6</v>
      </c>
      <c r="H70" s="115">
        <v>7</v>
      </c>
    </row>
    <row r="71" spans="1:11" hidden="1">
      <c r="A71" s="117">
        <v>1</v>
      </c>
      <c r="B71" s="684" t="s">
        <v>309</v>
      </c>
      <c r="C71" s="685"/>
      <c r="D71" s="118"/>
      <c r="E71" s="160">
        <v>1.4999999999999999E-2</v>
      </c>
      <c r="F71" s="157">
        <f>ROUND(D71*E71,0)</f>
        <v>0</v>
      </c>
      <c r="G71" s="157">
        <f>F71</f>
        <v>0</v>
      </c>
      <c r="H71" s="157">
        <f>G71</f>
        <v>0</v>
      </c>
    </row>
    <row r="72" spans="1:11" hidden="1">
      <c r="A72" s="117">
        <v>2</v>
      </c>
      <c r="B72" s="684" t="s">
        <v>310</v>
      </c>
      <c r="C72" s="685"/>
      <c r="D72" s="118"/>
      <c r="E72" s="160">
        <v>2.1999999999999999E-2</v>
      </c>
      <c r="F72" s="157">
        <f>ROUND(D72*E72,0)</f>
        <v>0</v>
      </c>
      <c r="G72" s="157">
        <f>F72</f>
        <v>0</v>
      </c>
      <c r="H72" s="157">
        <f>G72</f>
        <v>0</v>
      </c>
    </row>
    <row r="73" spans="1:11" hidden="1">
      <c r="A73" s="117"/>
      <c r="B73" s="672"/>
      <c r="C73" s="673"/>
      <c r="D73" s="118"/>
      <c r="E73" s="118"/>
      <c r="F73" s="157"/>
      <c r="G73" s="157"/>
      <c r="H73" s="157"/>
    </row>
    <row r="74" spans="1:11" hidden="1">
      <c r="A74" s="117"/>
      <c r="B74" s="672"/>
      <c r="C74" s="673"/>
      <c r="D74" s="118"/>
      <c r="E74" s="118"/>
      <c r="F74" s="157"/>
      <c r="G74" s="157"/>
      <c r="H74" s="157"/>
    </row>
    <row r="75" spans="1:11" hidden="1">
      <c r="A75" s="117"/>
      <c r="B75" s="672"/>
      <c r="C75" s="673"/>
      <c r="D75" s="118"/>
      <c r="E75" s="118"/>
      <c r="F75" s="157"/>
      <c r="G75" s="157"/>
      <c r="H75" s="157"/>
    </row>
    <row r="76" spans="1:11" hidden="1">
      <c r="A76" s="117"/>
      <c r="B76" s="672"/>
      <c r="C76" s="673"/>
      <c r="D76" s="118"/>
      <c r="E76" s="118"/>
      <c r="F76" s="157"/>
      <c r="G76" s="157"/>
      <c r="H76" s="157"/>
    </row>
    <row r="77" spans="1:11" s="156" customFormat="1" hidden="1">
      <c r="A77" s="154"/>
      <c r="B77" s="681" t="s">
        <v>215</v>
      </c>
      <c r="C77" s="682"/>
      <c r="D77" s="155"/>
      <c r="E77" s="155"/>
      <c r="F77" s="158">
        <f>SUM(F71:F76)</f>
        <v>0</v>
      </c>
      <c r="G77" s="158">
        <f t="shared" ref="G77:H77" si="6">SUM(G71:G76)</f>
        <v>0</v>
      </c>
      <c r="H77" s="158">
        <f t="shared" si="6"/>
        <v>0</v>
      </c>
      <c r="I77" s="159"/>
      <c r="J77" s="159"/>
      <c r="K77" s="159"/>
    </row>
    <row r="78" spans="1:11" hidden="1"/>
    <row r="79" spans="1:11" hidden="1">
      <c r="A79" s="683" t="s">
        <v>239</v>
      </c>
      <c r="B79" s="683"/>
      <c r="C79" s="683"/>
      <c r="D79" s="683"/>
      <c r="E79" s="683"/>
      <c r="F79" s="683"/>
      <c r="G79" s="683"/>
      <c r="H79" s="683"/>
    </row>
    <row r="80" spans="1:11" hidden="1"/>
    <row r="81" spans="1:11" ht="36.75" hidden="1">
      <c r="A81" s="119" t="s">
        <v>217</v>
      </c>
      <c r="B81" s="670" t="s">
        <v>0</v>
      </c>
      <c r="C81" s="671"/>
      <c r="D81" s="113" t="s">
        <v>240</v>
      </c>
      <c r="E81" s="113" t="s">
        <v>234</v>
      </c>
      <c r="F81" s="113" t="s">
        <v>241</v>
      </c>
      <c r="G81" s="113" t="s">
        <v>241</v>
      </c>
      <c r="H81" s="113" t="s">
        <v>241</v>
      </c>
    </row>
    <row r="82" spans="1:11" hidden="1">
      <c r="A82" s="115">
        <v>1</v>
      </c>
      <c r="B82" s="672">
        <v>2</v>
      </c>
      <c r="C82" s="673"/>
      <c r="D82" s="115">
        <v>3</v>
      </c>
      <c r="E82" s="115">
        <v>4</v>
      </c>
      <c r="F82" s="115">
        <v>5</v>
      </c>
      <c r="G82" s="115">
        <v>6</v>
      </c>
      <c r="H82" s="115">
        <v>7</v>
      </c>
    </row>
    <row r="83" spans="1:11" hidden="1">
      <c r="A83" s="117"/>
      <c r="B83" s="672"/>
      <c r="C83" s="673"/>
      <c r="D83" s="118"/>
      <c r="E83" s="118"/>
      <c r="F83" s="118"/>
      <c r="G83" s="118"/>
      <c r="H83" s="118"/>
    </row>
    <row r="84" spans="1:11" hidden="1">
      <c r="A84" s="117"/>
      <c r="B84" s="672"/>
      <c r="C84" s="673"/>
      <c r="D84" s="118"/>
      <c r="E84" s="118"/>
      <c r="F84" s="118"/>
      <c r="G84" s="118"/>
      <c r="H84" s="118"/>
    </row>
    <row r="85" spans="1:11" hidden="1">
      <c r="A85" s="117"/>
      <c r="B85" s="672"/>
      <c r="C85" s="673"/>
      <c r="D85" s="118"/>
      <c r="E85" s="118"/>
      <c r="F85" s="118"/>
      <c r="G85" s="118"/>
      <c r="H85" s="118"/>
    </row>
    <row r="86" spans="1:11" hidden="1">
      <c r="A86" s="117"/>
      <c r="B86" s="672"/>
      <c r="C86" s="673"/>
      <c r="D86" s="118"/>
      <c r="E86" s="118"/>
      <c r="F86" s="118"/>
      <c r="G86" s="118"/>
      <c r="H86" s="118"/>
    </row>
    <row r="87" spans="1:11" hidden="1">
      <c r="A87" s="117"/>
      <c r="B87" s="672"/>
      <c r="C87" s="673"/>
      <c r="D87" s="118"/>
      <c r="E87" s="118"/>
      <c r="F87" s="118"/>
      <c r="G87" s="118"/>
      <c r="H87" s="118"/>
    </row>
    <row r="88" spans="1:11" hidden="1">
      <c r="A88" s="117"/>
      <c r="B88" s="672"/>
      <c r="C88" s="673"/>
      <c r="D88" s="118"/>
      <c r="E88" s="118"/>
      <c r="F88" s="118"/>
      <c r="G88" s="118"/>
      <c r="H88" s="118"/>
    </row>
    <row r="89" spans="1:11" hidden="1">
      <c r="A89" s="117"/>
      <c r="B89" s="672" t="s">
        <v>215</v>
      </c>
      <c r="C89" s="673"/>
      <c r="D89" s="118"/>
      <c r="E89" s="118"/>
      <c r="F89" s="118"/>
      <c r="G89" s="118"/>
      <c r="H89" s="118"/>
    </row>
    <row r="90" spans="1:11" hidden="1"/>
    <row r="91" spans="1:11" s="66" customFormat="1" ht="14.25" hidden="1">
      <c r="A91" s="66" t="s">
        <v>242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1:11" s="66" customFormat="1" ht="14.25" hidden="1">
      <c r="A92" s="66" t="s">
        <v>243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1:11" hidden="1"/>
    <row r="94" spans="1:11" ht="24.75" hidden="1">
      <c r="A94" s="119" t="s">
        <v>217</v>
      </c>
      <c r="B94" s="670" t="s">
        <v>314</v>
      </c>
      <c r="C94" s="671"/>
      <c r="D94" s="113" t="s">
        <v>244</v>
      </c>
      <c r="E94" s="113" t="s">
        <v>245</v>
      </c>
      <c r="F94" s="113" t="s">
        <v>246</v>
      </c>
      <c r="G94" s="113" t="s">
        <v>299</v>
      </c>
      <c r="H94" s="113" t="s">
        <v>300</v>
      </c>
      <c r="I94" s="113" t="s">
        <v>301</v>
      </c>
    </row>
    <row r="95" spans="1:11" hidden="1">
      <c r="A95" s="115">
        <v>1</v>
      </c>
      <c r="B95" s="672">
        <v>2</v>
      </c>
      <c r="C95" s="673"/>
      <c r="D95" s="115">
        <v>3</v>
      </c>
      <c r="E95" s="115">
        <v>4</v>
      </c>
      <c r="F95" s="115">
        <v>5</v>
      </c>
      <c r="G95" s="115">
        <v>6</v>
      </c>
      <c r="H95" s="115">
        <v>7</v>
      </c>
      <c r="I95" s="115">
        <v>8</v>
      </c>
    </row>
    <row r="96" spans="1:11" hidden="1">
      <c r="A96" s="117"/>
      <c r="B96" s="684" t="s">
        <v>244</v>
      </c>
      <c r="C96" s="685"/>
      <c r="D96" s="118"/>
      <c r="E96" s="118"/>
      <c r="F96" s="118"/>
      <c r="G96" s="157"/>
      <c r="H96" s="157"/>
      <c r="I96" s="157"/>
    </row>
    <row r="97" spans="1:11" hidden="1">
      <c r="A97" s="117"/>
      <c r="B97" s="684" t="s">
        <v>315</v>
      </c>
      <c r="C97" s="685"/>
      <c r="D97" s="118"/>
      <c r="E97" s="118"/>
      <c r="F97" s="118">
        <v>247.8</v>
      </c>
      <c r="G97" s="157">
        <f>D97*E97*F97</f>
        <v>0</v>
      </c>
      <c r="H97" s="157"/>
      <c r="I97" s="157"/>
    </row>
    <row r="98" spans="1:11" hidden="1">
      <c r="A98" s="117"/>
      <c r="B98" s="296" t="s">
        <v>316</v>
      </c>
      <c r="C98" s="297"/>
      <c r="D98" s="118"/>
      <c r="E98" s="118"/>
      <c r="F98" s="118">
        <v>0.61</v>
      </c>
      <c r="G98" s="157">
        <f t="shared" ref="G98:G99" si="7">D98*E98*F98</f>
        <v>0</v>
      </c>
      <c r="H98" s="157"/>
      <c r="I98" s="157"/>
    </row>
    <row r="99" spans="1:11" hidden="1">
      <c r="A99" s="117"/>
      <c r="B99" s="296" t="s">
        <v>317</v>
      </c>
      <c r="C99" s="297"/>
      <c r="D99" s="118"/>
      <c r="E99" s="118"/>
      <c r="F99" s="118">
        <v>2341.4299999999998</v>
      </c>
      <c r="G99" s="157">
        <f t="shared" si="7"/>
        <v>0</v>
      </c>
      <c r="H99" s="157"/>
      <c r="I99" s="157"/>
    </row>
    <row r="100" spans="1:11" hidden="1">
      <c r="A100" s="117"/>
      <c r="B100" s="672"/>
      <c r="C100" s="673"/>
      <c r="D100" s="118"/>
      <c r="E100" s="118"/>
      <c r="F100" s="118"/>
      <c r="G100" s="157"/>
      <c r="H100" s="157"/>
      <c r="I100" s="157"/>
    </row>
    <row r="101" spans="1:11" hidden="1">
      <c r="A101" s="117"/>
      <c r="B101" s="672"/>
      <c r="C101" s="673"/>
      <c r="D101" s="118"/>
      <c r="E101" s="118"/>
      <c r="F101" s="118"/>
      <c r="G101" s="157"/>
      <c r="H101" s="157"/>
      <c r="I101" s="157"/>
    </row>
    <row r="102" spans="1:11" s="156" customFormat="1" hidden="1">
      <c r="A102" s="154"/>
      <c r="B102" s="681" t="s">
        <v>215</v>
      </c>
      <c r="C102" s="682"/>
      <c r="D102" s="155"/>
      <c r="E102" s="155"/>
      <c r="F102" s="155"/>
      <c r="G102" s="158">
        <f>ROUND(SUM(G96:G101),0)</f>
        <v>0</v>
      </c>
      <c r="H102" s="158">
        <f t="shared" ref="H102:I102" si="8">SUM(H96:H101)</f>
        <v>0</v>
      </c>
      <c r="I102" s="158">
        <f t="shared" si="8"/>
        <v>0</v>
      </c>
      <c r="J102" s="159"/>
      <c r="K102" s="159"/>
    </row>
    <row r="103" spans="1:11" hidden="1"/>
    <row r="104" spans="1:11" s="66" customFormat="1" ht="14.25" hidden="1">
      <c r="A104" s="66" t="s">
        <v>247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</row>
    <row r="105" spans="1:11" hidden="1"/>
    <row r="106" spans="1:11" ht="36.75" hidden="1">
      <c r="A106" s="119" t="s">
        <v>217</v>
      </c>
      <c r="B106" s="670" t="s">
        <v>236</v>
      </c>
      <c r="C106" s="671"/>
      <c r="D106" s="113" t="s">
        <v>248</v>
      </c>
      <c r="E106" s="113" t="s">
        <v>249</v>
      </c>
      <c r="F106" s="113" t="s">
        <v>299</v>
      </c>
      <c r="G106" s="113" t="s">
        <v>300</v>
      </c>
      <c r="H106" s="113" t="s">
        <v>301</v>
      </c>
    </row>
    <row r="107" spans="1:11" hidden="1">
      <c r="A107" s="115">
        <v>1</v>
      </c>
      <c r="B107" s="672">
        <v>2</v>
      </c>
      <c r="C107" s="673"/>
      <c r="D107" s="115">
        <v>3</v>
      </c>
      <c r="E107" s="115">
        <v>4</v>
      </c>
      <c r="F107" s="115">
        <v>5</v>
      </c>
      <c r="G107" s="115">
        <v>6</v>
      </c>
      <c r="H107" s="115">
        <v>7</v>
      </c>
    </row>
    <row r="108" spans="1:11" hidden="1">
      <c r="A108" s="117">
        <v>1</v>
      </c>
      <c r="B108" s="672" t="s">
        <v>353</v>
      </c>
      <c r="C108" s="673"/>
      <c r="D108" s="118"/>
      <c r="E108" s="118"/>
      <c r="F108" s="118">
        <f>D108*E108</f>
        <v>0</v>
      </c>
      <c r="G108" s="118"/>
      <c r="H108" s="118"/>
    </row>
    <row r="109" spans="1:11" hidden="1">
      <c r="A109" s="117"/>
      <c r="B109" s="672"/>
      <c r="C109" s="673"/>
      <c r="D109" s="118"/>
      <c r="E109" s="118"/>
      <c r="F109" s="118">
        <f t="shared" ref="F109:F113" si="9">D109*E109</f>
        <v>0</v>
      </c>
      <c r="G109" s="118"/>
      <c r="H109" s="118"/>
    </row>
    <row r="110" spans="1:11" hidden="1">
      <c r="A110" s="117"/>
      <c r="B110" s="672"/>
      <c r="C110" s="673"/>
      <c r="D110" s="118"/>
      <c r="E110" s="118"/>
      <c r="F110" s="118">
        <f t="shared" si="9"/>
        <v>0</v>
      </c>
      <c r="G110" s="118"/>
      <c r="H110" s="118"/>
    </row>
    <row r="111" spans="1:11" hidden="1">
      <c r="A111" s="117"/>
      <c r="B111" s="672"/>
      <c r="C111" s="673"/>
      <c r="D111" s="118"/>
      <c r="E111" s="118"/>
      <c r="F111" s="118">
        <f t="shared" si="9"/>
        <v>0</v>
      </c>
      <c r="G111" s="118"/>
      <c r="H111" s="118"/>
    </row>
    <row r="112" spans="1:11" hidden="1">
      <c r="A112" s="117"/>
      <c r="B112" s="672"/>
      <c r="C112" s="673"/>
      <c r="D112" s="118"/>
      <c r="E112" s="118"/>
      <c r="F112" s="118">
        <f t="shared" si="9"/>
        <v>0</v>
      </c>
      <c r="G112" s="118"/>
      <c r="H112" s="118"/>
    </row>
    <row r="113" spans="1:11" hidden="1">
      <c r="A113" s="117"/>
      <c r="B113" s="672"/>
      <c r="C113" s="673"/>
      <c r="D113" s="118"/>
      <c r="E113" s="118"/>
      <c r="F113" s="118">
        <f t="shared" si="9"/>
        <v>0</v>
      </c>
      <c r="G113" s="118"/>
      <c r="H113" s="118"/>
    </row>
    <row r="114" spans="1:11" s="156" customFormat="1" hidden="1">
      <c r="A114" s="154"/>
      <c r="B114" s="681" t="s">
        <v>215</v>
      </c>
      <c r="C114" s="682"/>
      <c r="D114" s="155"/>
      <c r="E114" s="155"/>
      <c r="F114" s="155">
        <f>SUM(F108:F113)</f>
        <v>0</v>
      </c>
      <c r="G114" s="155">
        <f t="shared" ref="G114:H114" si="10">SUM(G108:G113)</f>
        <v>0</v>
      </c>
      <c r="H114" s="155">
        <f t="shared" si="10"/>
        <v>0</v>
      </c>
      <c r="I114" s="159"/>
      <c r="J114" s="159"/>
      <c r="K114" s="159"/>
    </row>
    <row r="115" spans="1:11" hidden="1"/>
    <row r="116" spans="1:11" s="66" customFormat="1" ht="14.25" hidden="1">
      <c r="A116" s="66" t="s">
        <v>250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</row>
    <row r="117" spans="1:11" hidden="1"/>
    <row r="118" spans="1:11" ht="36.75" hidden="1">
      <c r="A118" s="119" t="s">
        <v>217</v>
      </c>
      <c r="B118" s="670" t="s">
        <v>0</v>
      </c>
      <c r="C118" s="671"/>
      <c r="D118" s="113" t="s">
        <v>251</v>
      </c>
      <c r="E118" s="113" t="s">
        <v>252</v>
      </c>
      <c r="F118" s="113" t="s">
        <v>253</v>
      </c>
      <c r="G118" s="113" t="s">
        <v>299</v>
      </c>
      <c r="H118" s="113" t="s">
        <v>300</v>
      </c>
      <c r="I118" s="113" t="s">
        <v>301</v>
      </c>
    </row>
    <row r="119" spans="1:11" hidden="1">
      <c r="A119" s="115">
        <v>1</v>
      </c>
      <c r="B119" s="672">
        <v>2</v>
      </c>
      <c r="C119" s="673"/>
      <c r="D119" s="115">
        <v>3</v>
      </c>
      <c r="E119" s="115">
        <v>4</v>
      </c>
      <c r="F119" s="115">
        <v>5</v>
      </c>
      <c r="G119" s="115">
        <v>6</v>
      </c>
      <c r="H119" s="115">
        <v>7</v>
      </c>
      <c r="I119" s="115">
        <v>8</v>
      </c>
    </row>
    <row r="120" spans="1:11" hidden="1">
      <c r="A120" s="117"/>
      <c r="B120" s="672" t="s">
        <v>354</v>
      </c>
      <c r="C120" s="673"/>
      <c r="D120" s="118"/>
      <c r="E120" s="118"/>
      <c r="F120" s="118"/>
      <c r="G120" s="118">
        <f>D120*E120*F120</f>
        <v>0</v>
      </c>
      <c r="H120" s="118"/>
      <c r="I120" s="118"/>
    </row>
    <row r="121" spans="1:11" hidden="1">
      <c r="A121" s="117"/>
      <c r="B121" s="672"/>
      <c r="C121" s="673"/>
      <c r="D121" s="118"/>
      <c r="E121" s="118"/>
      <c r="F121" s="118"/>
      <c r="G121" s="118">
        <f t="shared" ref="G121:G125" si="11">D121*E121*F121</f>
        <v>0</v>
      </c>
      <c r="H121" s="118"/>
      <c r="I121" s="118"/>
    </row>
    <row r="122" spans="1:11" hidden="1">
      <c r="A122" s="117"/>
      <c r="B122" s="672" t="s">
        <v>354</v>
      </c>
      <c r="C122" s="673"/>
      <c r="D122" s="118"/>
      <c r="E122" s="118"/>
      <c r="F122" s="118"/>
      <c r="G122" s="118">
        <f t="shared" si="11"/>
        <v>0</v>
      </c>
      <c r="H122" s="118"/>
      <c r="I122" s="118"/>
    </row>
    <row r="123" spans="1:11" hidden="1">
      <c r="A123" s="117"/>
      <c r="B123" s="672"/>
      <c r="C123" s="673"/>
      <c r="D123" s="118"/>
      <c r="E123" s="118"/>
      <c r="F123" s="118"/>
      <c r="G123" s="118">
        <f t="shared" si="11"/>
        <v>0</v>
      </c>
      <c r="H123" s="118"/>
      <c r="I123" s="118"/>
    </row>
    <row r="124" spans="1:11" hidden="1">
      <c r="A124" s="117"/>
      <c r="B124" s="672" t="s">
        <v>354</v>
      </c>
      <c r="C124" s="673"/>
      <c r="D124" s="118"/>
      <c r="E124" s="118"/>
      <c r="F124" s="118"/>
      <c r="G124" s="118">
        <f t="shared" si="11"/>
        <v>0</v>
      </c>
      <c r="H124" s="118"/>
      <c r="I124" s="118"/>
    </row>
    <row r="125" spans="1:11" hidden="1">
      <c r="A125" s="117"/>
      <c r="B125" s="672"/>
      <c r="C125" s="673"/>
      <c r="D125" s="118"/>
      <c r="E125" s="118"/>
      <c r="F125" s="118"/>
      <c r="G125" s="118">
        <f t="shared" si="11"/>
        <v>0</v>
      </c>
      <c r="H125" s="118"/>
      <c r="I125" s="118"/>
    </row>
    <row r="126" spans="1:11" s="156" customFormat="1" hidden="1">
      <c r="A126" s="154"/>
      <c r="B126" s="681" t="s">
        <v>215</v>
      </c>
      <c r="C126" s="682"/>
      <c r="D126" s="155"/>
      <c r="E126" s="155"/>
      <c r="F126" s="155"/>
      <c r="G126" s="155">
        <f>SUM(G120:G125)</f>
        <v>0</v>
      </c>
      <c r="H126" s="155">
        <f t="shared" ref="H126:I126" si="12">SUM(H120:H125)</f>
        <v>0</v>
      </c>
      <c r="I126" s="155">
        <f t="shared" si="12"/>
        <v>0</v>
      </c>
      <c r="J126" s="159"/>
      <c r="K126" s="159"/>
    </row>
    <row r="127" spans="1:11" hidden="1"/>
    <row r="128" spans="1:11" s="66" customFormat="1" ht="14.25" hidden="1">
      <c r="A128" s="66" t="s">
        <v>254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</row>
    <row r="129" spans="1:11" hidden="1"/>
    <row r="130" spans="1:11" ht="48.75" hidden="1">
      <c r="A130" s="119" t="s">
        <v>217</v>
      </c>
      <c r="B130" s="670" t="s">
        <v>0</v>
      </c>
      <c r="C130" s="671"/>
      <c r="D130" s="113" t="s">
        <v>255</v>
      </c>
      <c r="E130" s="113" t="s">
        <v>256</v>
      </c>
      <c r="F130" s="113" t="s">
        <v>257</v>
      </c>
      <c r="G130" s="113" t="s">
        <v>257</v>
      </c>
      <c r="H130" s="113" t="s">
        <v>257</v>
      </c>
    </row>
    <row r="131" spans="1:11" hidden="1">
      <c r="A131" s="115">
        <v>1</v>
      </c>
      <c r="B131" s="672">
        <v>2</v>
      </c>
      <c r="C131" s="673"/>
      <c r="D131" s="115">
        <v>3</v>
      </c>
      <c r="E131" s="115">
        <v>4</v>
      </c>
      <c r="F131" s="115">
        <v>5</v>
      </c>
      <c r="G131" s="115">
        <v>6</v>
      </c>
      <c r="H131" s="115">
        <v>7</v>
      </c>
    </row>
    <row r="132" spans="1:11" hidden="1">
      <c r="A132" s="117"/>
      <c r="B132" s="672"/>
      <c r="C132" s="673"/>
      <c r="D132" s="118"/>
      <c r="E132" s="118"/>
      <c r="F132" s="118"/>
      <c r="G132" s="118"/>
      <c r="H132" s="118"/>
    </row>
    <row r="133" spans="1:11" hidden="1">
      <c r="A133" s="117"/>
      <c r="B133" s="672"/>
      <c r="C133" s="673"/>
      <c r="D133" s="118"/>
      <c r="E133" s="118"/>
      <c r="F133" s="118"/>
      <c r="G133" s="118"/>
      <c r="H133" s="118"/>
    </row>
    <row r="134" spans="1:11" hidden="1">
      <c r="A134" s="117"/>
      <c r="B134" s="672"/>
      <c r="C134" s="673"/>
      <c r="D134" s="118"/>
      <c r="E134" s="118"/>
      <c r="F134" s="118"/>
      <c r="G134" s="118"/>
      <c r="H134" s="118"/>
    </row>
    <row r="135" spans="1:11" hidden="1">
      <c r="A135" s="117"/>
      <c r="B135" s="672"/>
      <c r="C135" s="673"/>
      <c r="D135" s="118"/>
      <c r="E135" s="118"/>
      <c r="F135" s="118"/>
      <c r="G135" s="118"/>
      <c r="H135" s="118"/>
    </row>
    <row r="136" spans="1:11" hidden="1">
      <c r="A136" s="117"/>
      <c r="B136" s="672"/>
      <c r="C136" s="673"/>
      <c r="D136" s="118"/>
      <c r="E136" s="118"/>
      <c r="F136" s="118"/>
      <c r="G136" s="118"/>
      <c r="H136" s="118"/>
    </row>
    <row r="137" spans="1:11" hidden="1">
      <c r="A137" s="117"/>
      <c r="B137" s="672"/>
      <c r="C137" s="673"/>
      <c r="D137" s="118"/>
      <c r="E137" s="118"/>
      <c r="F137" s="118"/>
      <c r="G137" s="118"/>
      <c r="H137" s="118"/>
    </row>
    <row r="138" spans="1:11" s="156" customFormat="1" hidden="1">
      <c r="A138" s="154"/>
      <c r="B138" s="681" t="s">
        <v>215</v>
      </c>
      <c r="C138" s="682"/>
      <c r="D138" s="155"/>
      <c r="E138" s="155"/>
      <c r="F138" s="155">
        <f>SUM(F132:F137)</f>
        <v>0</v>
      </c>
      <c r="G138" s="155">
        <f t="shared" ref="G138:H138" si="13">SUM(G132:G137)</f>
        <v>0</v>
      </c>
      <c r="H138" s="155">
        <f t="shared" si="13"/>
        <v>0</v>
      </c>
      <c r="I138" s="159"/>
      <c r="J138" s="159"/>
      <c r="K138" s="159"/>
    </row>
    <row r="139" spans="1:11" hidden="1"/>
    <row r="140" spans="1:11" s="66" customFormat="1" ht="14.25" hidden="1">
      <c r="A140" s="66" t="s">
        <v>258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1:11" hidden="1"/>
    <row r="142" spans="1:11" ht="24.75" hidden="1">
      <c r="A142" s="119" t="s">
        <v>217</v>
      </c>
      <c r="B142" s="670" t="s">
        <v>0</v>
      </c>
      <c r="C142" s="671"/>
      <c r="D142" s="113" t="s">
        <v>259</v>
      </c>
      <c r="E142" s="113" t="s">
        <v>260</v>
      </c>
      <c r="F142" s="113" t="s">
        <v>299</v>
      </c>
      <c r="G142" s="113" t="s">
        <v>300</v>
      </c>
      <c r="H142" s="113" t="s">
        <v>301</v>
      </c>
    </row>
    <row r="143" spans="1:11" hidden="1">
      <c r="A143" s="115">
        <v>1</v>
      </c>
      <c r="B143" s="672">
        <v>2</v>
      </c>
      <c r="C143" s="673"/>
      <c r="D143" s="115">
        <v>3</v>
      </c>
      <c r="E143" s="115">
        <v>4</v>
      </c>
      <c r="F143" s="115">
        <v>5</v>
      </c>
      <c r="G143" s="115">
        <v>6</v>
      </c>
      <c r="H143" s="115">
        <v>7</v>
      </c>
    </row>
    <row r="144" spans="1:11" hidden="1">
      <c r="A144" s="117">
        <v>1</v>
      </c>
      <c r="B144" s="672" t="s">
        <v>355</v>
      </c>
      <c r="C144" s="673"/>
      <c r="D144" s="118"/>
      <c r="E144" s="118"/>
      <c r="F144" s="118">
        <f>E144*D144</f>
        <v>0</v>
      </c>
      <c r="G144" s="118"/>
      <c r="H144" s="118"/>
    </row>
    <row r="145" spans="1:8" hidden="1">
      <c r="A145" s="117"/>
      <c r="B145" s="672" t="s">
        <v>356</v>
      </c>
      <c r="C145" s="673"/>
      <c r="D145" s="118"/>
      <c r="E145" s="118"/>
      <c r="F145" s="118">
        <f t="shared" ref="F145:F161" si="14">E145*D145</f>
        <v>0</v>
      </c>
      <c r="G145" s="118"/>
      <c r="H145" s="118"/>
    </row>
    <row r="146" spans="1:8" hidden="1">
      <c r="A146" s="117"/>
      <c r="B146" s="294"/>
      <c r="C146" s="295"/>
      <c r="D146" s="118"/>
      <c r="E146" s="118"/>
      <c r="F146" s="118">
        <f t="shared" si="14"/>
        <v>0</v>
      </c>
      <c r="G146" s="118"/>
      <c r="H146" s="118"/>
    </row>
    <row r="147" spans="1:8" hidden="1">
      <c r="A147" s="117"/>
      <c r="B147" s="294"/>
      <c r="C147" s="295"/>
      <c r="D147" s="118"/>
      <c r="E147" s="118"/>
      <c r="F147" s="118">
        <f t="shared" si="14"/>
        <v>0</v>
      </c>
      <c r="G147" s="118"/>
      <c r="H147" s="118"/>
    </row>
    <row r="148" spans="1:8" hidden="1">
      <c r="A148" s="117"/>
      <c r="B148" s="294"/>
      <c r="C148" s="295"/>
      <c r="D148" s="118"/>
      <c r="E148" s="118"/>
      <c r="F148" s="118">
        <f t="shared" si="14"/>
        <v>0</v>
      </c>
      <c r="G148" s="118"/>
      <c r="H148" s="118"/>
    </row>
    <row r="149" spans="1:8" hidden="1">
      <c r="A149" s="117"/>
      <c r="B149" s="294"/>
      <c r="C149" s="295"/>
      <c r="D149" s="118"/>
      <c r="E149" s="118"/>
      <c r="F149" s="118">
        <f t="shared" si="14"/>
        <v>0</v>
      </c>
      <c r="G149" s="118"/>
      <c r="H149" s="118"/>
    </row>
    <row r="150" spans="1:8" hidden="1">
      <c r="A150" s="117"/>
      <c r="B150" s="294"/>
      <c r="C150" s="295"/>
      <c r="D150" s="118"/>
      <c r="E150" s="118"/>
      <c r="F150" s="118">
        <f t="shared" si="14"/>
        <v>0</v>
      </c>
      <c r="G150" s="118"/>
      <c r="H150" s="118"/>
    </row>
    <row r="151" spans="1:8" hidden="1">
      <c r="A151" s="117"/>
      <c r="B151" s="294"/>
      <c r="C151" s="295"/>
      <c r="D151" s="118"/>
      <c r="E151" s="118"/>
      <c r="F151" s="118">
        <f t="shared" si="14"/>
        <v>0</v>
      </c>
      <c r="G151" s="118"/>
      <c r="H151" s="118"/>
    </row>
    <row r="152" spans="1:8" hidden="1">
      <c r="A152" s="117"/>
      <c r="B152" s="294"/>
      <c r="C152" s="295"/>
      <c r="D152" s="118"/>
      <c r="E152" s="118"/>
      <c r="F152" s="118">
        <f t="shared" si="14"/>
        <v>0</v>
      </c>
      <c r="G152" s="118"/>
      <c r="H152" s="118"/>
    </row>
    <row r="153" spans="1:8" hidden="1">
      <c r="A153" s="117"/>
      <c r="B153" s="294"/>
      <c r="C153" s="295"/>
      <c r="D153" s="118"/>
      <c r="E153" s="118"/>
      <c r="F153" s="118">
        <f t="shared" si="14"/>
        <v>0</v>
      </c>
      <c r="G153" s="118"/>
      <c r="H153" s="118"/>
    </row>
    <row r="154" spans="1:8" hidden="1">
      <c r="A154" s="117"/>
      <c r="B154" s="294"/>
      <c r="C154" s="295"/>
      <c r="D154" s="118"/>
      <c r="E154" s="118"/>
      <c r="F154" s="118">
        <f t="shared" si="14"/>
        <v>0</v>
      </c>
      <c r="G154" s="118"/>
      <c r="H154" s="118"/>
    </row>
    <row r="155" spans="1:8" hidden="1">
      <c r="A155" s="117"/>
      <c r="B155" s="294"/>
      <c r="C155" s="295"/>
      <c r="D155" s="118"/>
      <c r="E155" s="118"/>
      <c r="F155" s="118">
        <f t="shared" si="14"/>
        <v>0</v>
      </c>
      <c r="G155" s="118"/>
      <c r="H155" s="118"/>
    </row>
    <row r="156" spans="1:8" hidden="1">
      <c r="A156" s="117"/>
      <c r="B156" s="294"/>
      <c r="C156" s="295"/>
      <c r="D156" s="118"/>
      <c r="E156" s="118"/>
      <c r="F156" s="118">
        <f t="shared" si="14"/>
        <v>0</v>
      </c>
      <c r="G156" s="118"/>
      <c r="H156" s="118"/>
    </row>
    <row r="157" spans="1:8" hidden="1">
      <c r="A157" s="117"/>
      <c r="B157" s="294"/>
      <c r="C157" s="295"/>
      <c r="D157" s="118"/>
      <c r="E157" s="118"/>
      <c r="F157" s="118">
        <f t="shared" si="14"/>
        <v>0</v>
      </c>
      <c r="G157" s="118"/>
      <c r="H157" s="118"/>
    </row>
    <row r="158" spans="1:8" hidden="1">
      <c r="A158" s="117"/>
      <c r="B158" s="672"/>
      <c r="C158" s="673"/>
      <c r="D158" s="118"/>
      <c r="E158" s="118"/>
      <c r="F158" s="118">
        <f t="shared" si="14"/>
        <v>0</v>
      </c>
      <c r="G158" s="118"/>
      <c r="H158" s="118"/>
    </row>
    <row r="159" spans="1:8" hidden="1">
      <c r="A159" s="117"/>
      <c r="B159" s="672"/>
      <c r="C159" s="673"/>
      <c r="D159" s="118"/>
      <c r="E159" s="118"/>
      <c r="F159" s="118">
        <f t="shared" si="14"/>
        <v>0</v>
      </c>
      <c r="G159" s="118"/>
      <c r="H159" s="118"/>
    </row>
    <row r="160" spans="1:8" hidden="1">
      <c r="A160" s="117"/>
      <c r="B160" s="672"/>
      <c r="C160" s="673"/>
      <c r="D160" s="118"/>
      <c r="E160" s="118"/>
      <c r="F160" s="118">
        <f t="shared" si="14"/>
        <v>0</v>
      </c>
      <c r="G160" s="118"/>
      <c r="H160" s="118"/>
    </row>
    <row r="161" spans="1:11" hidden="1">
      <c r="A161" s="117"/>
      <c r="B161" s="672"/>
      <c r="C161" s="673"/>
      <c r="D161" s="118"/>
      <c r="E161" s="118"/>
      <c r="F161" s="118">
        <f t="shared" si="14"/>
        <v>0</v>
      </c>
      <c r="G161" s="118"/>
      <c r="H161" s="118"/>
    </row>
    <row r="162" spans="1:11" s="156" customFormat="1" hidden="1">
      <c r="A162" s="154"/>
      <c r="B162" s="681" t="s">
        <v>215</v>
      </c>
      <c r="C162" s="682"/>
      <c r="D162" s="155"/>
      <c r="E162" s="155"/>
      <c r="F162" s="155">
        <f>SUM(F144:F161)</f>
        <v>0</v>
      </c>
      <c r="G162" s="155">
        <f t="shared" ref="G162:H162" si="15">SUM(G144:G161)</f>
        <v>0</v>
      </c>
      <c r="H162" s="155">
        <f t="shared" si="15"/>
        <v>0</v>
      </c>
      <c r="I162" s="159"/>
      <c r="J162" s="159"/>
      <c r="K162" s="159"/>
    </row>
    <row r="164" spans="1:11" s="66" customFormat="1" ht="14.25">
      <c r="A164" s="66" t="s">
        <v>496</v>
      </c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</row>
    <row r="166" spans="1:11" ht="24.75">
      <c r="A166" s="119" t="s">
        <v>217</v>
      </c>
      <c r="B166" s="670" t="s">
        <v>236</v>
      </c>
      <c r="C166" s="671"/>
      <c r="D166" s="113" t="s">
        <v>259</v>
      </c>
      <c r="E166" s="113" t="s">
        <v>260</v>
      </c>
      <c r="F166" s="113" t="s">
        <v>299</v>
      </c>
      <c r="G166" s="113" t="s">
        <v>300</v>
      </c>
      <c r="H166" s="113" t="s">
        <v>301</v>
      </c>
    </row>
    <row r="167" spans="1:11">
      <c r="A167" s="115">
        <v>1</v>
      </c>
      <c r="B167" s="672">
        <v>2</v>
      </c>
      <c r="C167" s="673"/>
      <c r="D167" s="115">
        <v>3</v>
      </c>
      <c r="E167" s="115">
        <v>4</v>
      </c>
      <c r="F167" s="115">
        <v>5</v>
      </c>
      <c r="G167" s="115">
        <v>6</v>
      </c>
      <c r="H167" s="115">
        <v>7</v>
      </c>
    </row>
    <row r="168" spans="1:11">
      <c r="A168" s="117">
        <v>1</v>
      </c>
      <c r="B168" s="672" t="s">
        <v>498</v>
      </c>
      <c r="C168" s="673"/>
      <c r="D168" s="157">
        <v>1</v>
      </c>
      <c r="E168" s="157">
        <v>210000</v>
      </c>
      <c r="F168" s="157">
        <f>E168*D168</f>
        <v>210000</v>
      </c>
      <c r="G168" s="157"/>
      <c r="H168" s="157"/>
    </row>
    <row r="169" spans="1:11">
      <c r="A169" s="117"/>
      <c r="B169" s="672">
        <v>210000</v>
      </c>
      <c r="C169" s="673"/>
      <c r="D169" s="157"/>
      <c r="E169" s="157"/>
      <c r="F169" s="157">
        <f t="shared" ref="F169:F187" si="16">E169*D169</f>
        <v>0</v>
      </c>
      <c r="G169" s="157"/>
      <c r="H169" s="157"/>
    </row>
    <row r="170" spans="1:11">
      <c r="A170" s="117">
        <v>2</v>
      </c>
      <c r="B170" s="672" t="s">
        <v>499</v>
      </c>
      <c r="C170" s="673"/>
      <c r="D170" s="157">
        <v>1</v>
      </c>
      <c r="E170" s="157">
        <v>150000</v>
      </c>
      <c r="F170" s="157">
        <f t="shared" si="16"/>
        <v>150000</v>
      </c>
      <c r="G170" s="157"/>
      <c r="H170" s="157"/>
    </row>
    <row r="171" spans="1:11">
      <c r="A171" s="117"/>
      <c r="B171" s="672">
        <v>150000</v>
      </c>
      <c r="C171" s="673"/>
      <c r="D171" s="157"/>
      <c r="E171" s="157"/>
      <c r="F171" s="157">
        <f t="shared" si="16"/>
        <v>0</v>
      </c>
      <c r="G171" s="157"/>
      <c r="H171" s="157"/>
    </row>
    <row r="172" spans="1:11" hidden="1">
      <c r="A172" s="117"/>
      <c r="B172" s="294"/>
      <c r="C172" s="295"/>
      <c r="D172" s="157"/>
      <c r="E172" s="157"/>
      <c r="F172" s="157">
        <f t="shared" si="16"/>
        <v>0</v>
      </c>
      <c r="G172" s="157"/>
      <c r="H172" s="157"/>
    </row>
    <row r="173" spans="1:11" hidden="1">
      <c r="A173" s="117"/>
      <c r="B173" s="294"/>
      <c r="C173" s="295"/>
      <c r="D173" s="157"/>
      <c r="E173" s="157"/>
      <c r="F173" s="157">
        <f t="shared" si="16"/>
        <v>0</v>
      </c>
      <c r="G173" s="157"/>
      <c r="H173" s="157"/>
    </row>
    <row r="174" spans="1:11" hidden="1">
      <c r="A174" s="117"/>
      <c r="B174" s="294"/>
      <c r="C174" s="295"/>
      <c r="D174" s="157"/>
      <c r="E174" s="157"/>
      <c r="F174" s="157">
        <f t="shared" si="16"/>
        <v>0</v>
      </c>
      <c r="G174" s="157"/>
      <c r="H174" s="157"/>
    </row>
    <row r="175" spans="1:11" hidden="1">
      <c r="A175" s="117"/>
      <c r="B175" s="294"/>
      <c r="C175" s="295"/>
      <c r="D175" s="118"/>
      <c r="E175" s="118"/>
      <c r="F175" s="118">
        <f t="shared" si="16"/>
        <v>0</v>
      </c>
      <c r="G175" s="118"/>
      <c r="H175" s="118"/>
    </row>
    <row r="176" spans="1:11" hidden="1">
      <c r="A176" s="117"/>
      <c r="B176" s="294"/>
      <c r="C176" s="295"/>
      <c r="D176" s="118"/>
      <c r="E176" s="118"/>
      <c r="F176" s="118">
        <f t="shared" si="16"/>
        <v>0</v>
      </c>
      <c r="G176" s="118"/>
      <c r="H176" s="118"/>
    </row>
    <row r="177" spans="1:11" hidden="1">
      <c r="A177" s="117"/>
      <c r="B177" s="294"/>
      <c r="C177" s="295"/>
      <c r="D177" s="118"/>
      <c r="E177" s="118"/>
      <c r="F177" s="118">
        <f t="shared" si="16"/>
        <v>0</v>
      </c>
      <c r="G177" s="118"/>
      <c r="H177" s="118"/>
    </row>
    <row r="178" spans="1:11" hidden="1">
      <c r="A178" s="117"/>
      <c r="B178" s="294"/>
      <c r="C178" s="295"/>
      <c r="D178" s="118"/>
      <c r="E178" s="118"/>
      <c r="F178" s="118">
        <f t="shared" si="16"/>
        <v>0</v>
      </c>
      <c r="G178" s="118"/>
      <c r="H178" s="118"/>
    </row>
    <row r="179" spans="1:11" hidden="1">
      <c r="A179" s="117"/>
      <c r="B179" s="294"/>
      <c r="C179" s="295"/>
      <c r="D179" s="118"/>
      <c r="E179" s="118"/>
      <c r="F179" s="118">
        <f t="shared" si="16"/>
        <v>0</v>
      </c>
      <c r="G179" s="118"/>
      <c r="H179" s="118"/>
    </row>
    <row r="180" spans="1:11" hidden="1">
      <c r="A180" s="117"/>
      <c r="B180" s="294"/>
      <c r="C180" s="295"/>
      <c r="D180" s="118"/>
      <c r="E180" s="118"/>
      <c r="F180" s="118">
        <f t="shared" si="16"/>
        <v>0</v>
      </c>
      <c r="G180" s="118"/>
      <c r="H180" s="118"/>
    </row>
    <row r="181" spans="1:11" hidden="1">
      <c r="A181" s="117"/>
      <c r="B181" s="294"/>
      <c r="C181" s="295"/>
      <c r="D181" s="118"/>
      <c r="E181" s="118"/>
      <c r="F181" s="118">
        <f t="shared" si="16"/>
        <v>0</v>
      </c>
      <c r="G181" s="118"/>
      <c r="H181" s="118"/>
    </row>
    <row r="182" spans="1:11" hidden="1">
      <c r="A182" s="117"/>
      <c r="B182" s="294"/>
      <c r="C182" s="295"/>
      <c r="D182" s="118"/>
      <c r="E182" s="118"/>
      <c r="F182" s="118">
        <f t="shared" si="16"/>
        <v>0</v>
      </c>
      <c r="G182" s="118"/>
      <c r="H182" s="118"/>
    </row>
    <row r="183" spans="1:11" hidden="1">
      <c r="A183" s="117"/>
      <c r="B183" s="294"/>
      <c r="C183" s="295"/>
      <c r="D183" s="118"/>
      <c r="E183" s="118"/>
      <c r="F183" s="118">
        <f t="shared" si="16"/>
        <v>0</v>
      </c>
      <c r="G183" s="118"/>
      <c r="H183" s="118"/>
    </row>
    <row r="184" spans="1:11" hidden="1">
      <c r="A184" s="117"/>
      <c r="B184" s="294"/>
      <c r="C184" s="295"/>
      <c r="D184" s="118"/>
      <c r="E184" s="118"/>
      <c r="F184" s="118">
        <f t="shared" si="16"/>
        <v>0</v>
      </c>
      <c r="G184" s="118"/>
      <c r="H184" s="118"/>
    </row>
    <row r="185" spans="1:11" hidden="1">
      <c r="A185" s="117"/>
      <c r="B185" s="672"/>
      <c r="C185" s="673"/>
      <c r="D185" s="118"/>
      <c r="E185" s="118"/>
      <c r="F185" s="118">
        <f t="shared" si="16"/>
        <v>0</v>
      </c>
      <c r="G185" s="118"/>
      <c r="H185" s="118"/>
    </row>
    <row r="186" spans="1:11" hidden="1">
      <c r="A186" s="117"/>
      <c r="B186" s="672"/>
      <c r="C186" s="673"/>
      <c r="D186" s="118"/>
      <c r="E186" s="118"/>
      <c r="F186" s="118">
        <f t="shared" si="16"/>
        <v>0</v>
      </c>
      <c r="G186" s="118"/>
      <c r="H186" s="118"/>
    </row>
    <row r="187" spans="1:11" hidden="1">
      <c r="A187" s="117"/>
      <c r="B187" s="672"/>
      <c r="C187" s="673"/>
      <c r="D187" s="118"/>
      <c r="E187" s="118"/>
      <c r="F187" s="118">
        <f t="shared" si="16"/>
        <v>0</v>
      </c>
      <c r="G187" s="118"/>
      <c r="H187" s="118"/>
    </row>
    <row r="188" spans="1:11" s="156" customFormat="1" ht="15.75" thickBot="1">
      <c r="A188" s="154"/>
      <c r="B188" s="681" t="s">
        <v>215</v>
      </c>
      <c r="C188" s="682"/>
      <c r="D188" s="155"/>
      <c r="E188" s="155"/>
      <c r="F188" s="155">
        <f>SUM(F168:F187)</f>
        <v>360000</v>
      </c>
      <c r="G188" s="155">
        <f t="shared" ref="G188:H188" si="17">SUM(G168:G187)</f>
        <v>0</v>
      </c>
      <c r="H188" s="155">
        <f t="shared" si="17"/>
        <v>0</v>
      </c>
      <c r="I188" s="159"/>
      <c r="J188" s="159"/>
      <c r="K188" s="159"/>
    </row>
    <row r="189" spans="1:11" hidden="1"/>
    <row r="190" spans="1:11" s="66" customFormat="1" ht="14.25" hidden="1">
      <c r="A190" s="66" t="s">
        <v>262</v>
      </c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</row>
    <row r="191" spans="1:11" hidden="1"/>
    <row r="192" spans="1:11" ht="24.75" hidden="1">
      <c r="A192" s="119" t="s">
        <v>217</v>
      </c>
      <c r="B192" s="670" t="s">
        <v>236</v>
      </c>
      <c r="C192" s="671"/>
      <c r="D192" s="113" t="s">
        <v>255</v>
      </c>
      <c r="E192" s="113" t="s">
        <v>260</v>
      </c>
      <c r="F192" s="113" t="s">
        <v>299</v>
      </c>
      <c r="G192" s="113" t="s">
        <v>300</v>
      </c>
      <c r="H192" s="113" t="s">
        <v>301</v>
      </c>
    </row>
    <row r="193" spans="1:8" hidden="1">
      <c r="A193" s="115">
        <v>1</v>
      </c>
      <c r="B193" s="672">
        <v>2</v>
      </c>
      <c r="C193" s="673"/>
      <c r="D193" s="115">
        <v>3</v>
      </c>
      <c r="E193" s="115">
        <v>4</v>
      </c>
      <c r="F193" s="115">
        <v>5</v>
      </c>
      <c r="G193" s="115">
        <v>6</v>
      </c>
      <c r="H193" s="115">
        <v>7</v>
      </c>
    </row>
    <row r="194" spans="1:8" hidden="1">
      <c r="A194" s="117">
        <v>1</v>
      </c>
      <c r="B194" s="672" t="s">
        <v>360</v>
      </c>
      <c r="C194" s="673"/>
      <c r="D194" s="118"/>
      <c r="E194" s="118"/>
      <c r="F194" s="118">
        <f>D194*E194</f>
        <v>0</v>
      </c>
      <c r="G194" s="118"/>
      <c r="H194" s="118"/>
    </row>
    <row r="195" spans="1:8" hidden="1">
      <c r="A195" s="121"/>
      <c r="B195" s="684" t="s">
        <v>361</v>
      </c>
      <c r="C195" s="685"/>
      <c r="D195" s="118"/>
      <c r="E195" s="118"/>
      <c r="F195" s="118">
        <f t="shared" ref="F195:F215" si="18">D195*E195</f>
        <v>0</v>
      </c>
      <c r="G195" s="118"/>
      <c r="H195" s="118"/>
    </row>
    <row r="196" spans="1:8" hidden="1">
      <c r="A196" s="121"/>
      <c r="B196" s="294"/>
      <c r="C196" s="295"/>
      <c r="D196" s="118"/>
      <c r="E196" s="118"/>
      <c r="F196" s="118">
        <f t="shared" si="18"/>
        <v>0</v>
      </c>
      <c r="G196" s="118"/>
      <c r="H196" s="118"/>
    </row>
    <row r="197" spans="1:8" hidden="1">
      <c r="A197" s="121"/>
      <c r="B197" s="294"/>
      <c r="C197" s="295"/>
      <c r="D197" s="118"/>
      <c r="E197" s="118"/>
      <c r="F197" s="118">
        <f t="shared" si="18"/>
        <v>0</v>
      </c>
      <c r="G197" s="118"/>
      <c r="H197" s="118"/>
    </row>
    <row r="198" spans="1:8" hidden="1">
      <c r="A198" s="121"/>
      <c r="B198" s="294"/>
      <c r="C198" s="295"/>
      <c r="D198" s="118"/>
      <c r="E198" s="118"/>
      <c r="F198" s="118">
        <f t="shared" si="18"/>
        <v>0</v>
      </c>
      <c r="G198" s="118"/>
      <c r="H198" s="118"/>
    </row>
    <row r="199" spans="1:8" hidden="1">
      <c r="A199" s="121"/>
      <c r="B199" s="294"/>
      <c r="C199" s="295"/>
      <c r="D199" s="118"/>
      <c r="E199" s="118"/>
      <c r="F199" s="118">
        <f t="shared" si="18"/>
        <v>0</v>
      </c>
      <c r="G199" s="118"/>
      <c r="H199" s="118"/>
    </row>
    <row r="200" spans="1:8" hidden="1">
      <c r="A200" s="121"/>
      <c r="B200" s="294"/>
      <c r="C200" s="295"/>
      <c r="D200" s="118"/>
      <c r="E200" s="118"/>
      <c r="F200" s="118">
        <f t="shared" si="18"/>
        <v>0</v>
      </c>
      <c r="G200" s="118"/>
      <c r="H200" s="118"/>
    </row>
    <row r="201" spans="1:8" hidden="1">
      <c r="A201" s="121"/>
      <c r="B201" s="294"/>
      <c r="C201" s="295"/>
      <c r="D201" s="118"/>
      <c r="E201" s="118"/>
      <c r="F201" s="118">
        <f t="shared" si="18"/>
        <v>0</v>
      </c>
      <c r="G201" s="118"/>
      <c r="H201" s="118"/>
    </row>
    <row r="202" spans="1:8" hidden="1">
      <c r="A202" s="121"/>
      <c r="B202" s="294"/>
      <c r="C202" s="295"/>
      <c r="D202" s="118"/>
      <c r="E202" s="118"/>
      <c r="F202" s="118">
        <f t="shared" si="18"/>
        <v>0</v>
      </c>
      <c r="G202" s="118"/>
      <c r="H202" s="118"/>
    </row>
    <row r="203" spans="1:8" hidden="1">
      <c r="A203" s="121"/>
      <c r="B203" s="294"/>
      <c r="C203" s="295"/>
      <c r="D203" s="118"/>
      <c r="E203" s="118"/>
      <c r="F203" s="118">
        <f t="shared" si="18"/>
        <v>0</v>
      </c>
      <c r="G203" s="118"/>
      <c r="H203" s="118"/>
    </row>
    <row r="204" spans="1:8" hidden="1">
      <c r="A204" s="121"/>
      <c r="B204" s="294"/>
      <c r="C204" s="295"/>
      <c r="D204" s="118"/>
      <c r="E204" s="118"/>
      <c r="F204" s="118">
        <f t="shared" si="18"/>
        <v>0</v>
      </c>
      <c r="G204" s="118"/>
      <c r="H204" s="118"/>
    </row>
    <row r="205" spans="1:8" hidden="1">
      <c r="A205" s="121"/>
      <c r="B205" s="294"/>
      <c r="C205" s="295"/>
      <c r="D205" s="118"/>
      <c r="E205" s="118"/>
      <c r="F205" s="118">
        <f t="shared" si="18"/>
        <v>0</v>
      </c>
      <c r="G205" s="118"/>
      <c r="H205" s="118"/>
    </row>
    <row r="206" spans="1:8" ht="15.75" hidden="1" thickBot="1">
      <c r="A206" s="121"/>
      <c r="B206" s="294"/>
      <c r="C206" s="295"/>
      <c r="D206" s="118"/>
      <c r="E206" s="118"/>
      <c r="F206" s="118">
        <f t="shared" si="18"/>
        <v>0</v>
      </c>
      <c r="G206" s="118"/>
      <c r="H206" s="118"/>
    </row>
    <row r="207" spans="1:8" ht="15.75" hidden="1" thickBot="1">
      <c r="A207" s="121"/>
      <c r="B207" s="294"/>
      <c r="C207" s="295"/>
      <c r="D207" s="118"/>
      <c r="E207" s="118"/>
      <c r="F207" s="118">
        <f t="shared" si="18"/>
        <v>0</v>
      </c>
      <c r="G207" s="118"/>
      <c r="H207" s="118"/>
    </row>
    <row r="208" spans="1:8" ht="15.75" hidden="1" thickBot="1">
      <c r="A208" s="121"/>
      <c r="B208" s="294"/>
      <c r="C208" s="295"/>
      <c r="D208" s="118"/>
      <c r="E208" s="118"/>
      <c r="F208" s="118">
        <f t="shared" si="18"/>
        <v>0</v>
      </c>
      <c r="G208" s="118"/>
      <c r="H208" s="118"/>
    </row>
    <row r="209" spans="1:21" ht="15.75" hidden="1" thickBot="1">
      <c r="A209" s="121"/>
      <c r="B209" s="294"/>
      <c r="C209" s="295"/>
      <c r="D209" s="118"/>
      <c r="E209" s="118"/>
      <c r="F209" s="118">
        <f t="shared" si="18"/>
        <v>0</v>
      </c>
      <c r="G209" s="118"/>
      <c r="H209" s="118"/>
    </row>
    <row r="210" spans="1:21" ht="15.75" hidden="1" thickBot="1">
      <c r="A210" s="121"/>
      <c r="B210" s="294"/>
      <c r="C210" s="295"/>
      <c r="D210" s="118"/>
      <c r="E210" s="118"/>
      <c r="F210" s="118">
        <f t="shared" si="18"/>
        <v>0</v>
      </c>
      <c r="G210" s="118"/>
      <c r="H210" s="118"/>
    </row>
    <row r="211" spans="1:21" ht="15.75" hidden="1" thickBot="1">
      <c r="A211" s="121"/>
      <c r="B211" s="294"/>
      <c r="C211" s="295"/>
      <c r="D211" s="118"/>
      <c r="E211" s="118"/>
      <c r="F211" s="118">
        <f t="shared" si="18"/>
        <v>0</v>
      </c>
      <c r="G211" s="118"/>
      <c r="H211" s="118"/>
    </row>
    <row r="212" spans="1:21" ht="15.75" hidden="1" thickBot="1">
      <c r="A212" s="117"/>
      <c r="B212" s="672"/>
      <c r="C212" s="673"/>
      <c r="D212" s="118"/>
      <c r="E212" s="118"/>
      <c r="F212" s="118">
        <f t="shared" si="18"/>
        <v>0</v>
      </c>
      <c r="G212" s="118"/>
      <c r="H212" s="118"/>
    </row>
    <row r="213" spans="1:21" ht="15.75" hidden="1" thickBot="1">
      <c r="A213" s="117"/>
      <c r="B213" s="672"/>
      <c r="C213" s="673"/>
      <c r="D213" s="118"/>
      <c r="E213" s="118"/>
      <c r="F213" s="118">
        <f t="shared" si="18"/>
        <v>0</v>
      </c>
      <c r="G213" s="118"/>
      <c r="H213" s="118"/>
    </row>
    <row r="214" spans="1:21" ht="15.75" hidden="1" thickBot="1">
      <c r="A214" s="117"/>
      <c r="B214" s="672"/>
      <c r="C214" s="673"/>
      <c r="D214" s="118"/>
      <c r="E214" s="118"/>
      <c r="F214" s="118">
        <f t="shared" si="18"/>
        <v>0</v>
      </c>
      <c r="G214" s="118"/>
      <c r="H214" s="118"/>
    </row>
    <row r="215" spans="1:21" ht="15.75" hidden="1" thickBot="1">
      <c r="A215" s="117"/>
      <c r="B215" s="672"/>
      <c r="C215" s="673"/>
      <c r="D215" s="118"/>
      <c r="E215" s="118"/>
      <c r="F215" s="118">
        <f t="shared" si="18"/>
        <v>0</v>
      </c>
      <c r="G215" s="118"/>
      <c r="H215" s="118"/>
    </row>
    <row r="216" spans="1:21" s="156" customFormat="1" ht="15.75" hidden="1" thickBot="1">
      <c r="A216" s="154"/>
      <c r="B216" s="681" t="s">
        <v>215</v>
      </c>
      <c r="C216" s="682"/>
      <c r="D216" s="155"/>
      <c r="E216" s="155"/>
      <c r="F216" s="155">
        <f>SUM(F194:F215)</f>
        <v>0</v>
      </c>
      <c r="G216" s="155">
        <f t="shared" ref="G216:H216" si="19">SUM(G194:G215)</f>
        <v>0</v>
      </c>
      <c r="H216" s="155">
        <f t="shared" si="19"/>
        <v>0</v>
      </c>
      <c r="I216" s="159"/>
      <c r="J216" s="159"/>
      <c r="K216" s="159"/>
    </row>
    <row r="217" spans="1:21" ht="15.75" hidden="1" thickBot="1"/>
    <row r="218" spans="1:21" ht="15.75" thickBot="1">
      <c r="A218" s="122"/>
      <c r="B218" s="694" t="s">
        <v>263</v>
      </c>
      <c r="C218" s="695"/>
      <c r="D218" s="695"/>
      <c r="E218" s="696"/>
      <c r="F218" s="161">
        <f>F216+F188+F162+F138+G126+F114+G102+F89+F77+F65+F40+I28</f>
        <v>360000</v>
      </c>
      <c r="G218" s="161">
        <f t="shared" ref="G218:H218" si="20">G216+G188+G162+G138+H126+G114+H102+G89+G77+G65+G40+J28</f>
        <v>0</v>
      </c>
      <c r="H218" s="161">
        <f t="shared" si="20"/>
        <v>0</v>
      </c>
    </row>
    <row r="222" spans="1:21" s="335" customFormat="1" ht="20.25" customHeight="1">
      <c r="A222" s="697" t="s">
        <v>179</v>
      </c>
      <c r="B222" s="697"/>
      <c r="C222" s="697"/>
      <c r="D222" s="328" t="s">
        <v>401</v>
      </c>
      <c r="E222" s="123"/>
      <c r="F222" s="328"/>
      <c r="G222" s="123"/>
      <c r="H222" s="328" t="s">
        <v>505</v>
      </c>
      <c r="I222" s="328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4"/>
    </row>
    <row r="223" spans="1:21" s="335" customFormat="1" ht="20.25" customHeight="1">
      <c r="A223" s="697" t="s">
        <v>180</v>
      </c>
      <c r="B223" s="697"/>
      <c r="C223" s="697"/>
      <c r="D223" s="125" t="s">
        <v>264</v>
      </c>
      <c r="E223" s="126"/>
      <c r="F223" s="125" t="s">
        <v>265</v>
      </c>
      <c r="G223" s="126"/>
      <c r="H223" s="337" t="s">
        <v>266</v>
      </c>
      <c r="I223" s="337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4"/>
    </row>
    <row r="224" spans="1:21" s="335" customFormat="1">
      <c r="A224" s="336"/>
    </row>
    <row r="225" spans="1:11" s="335" customFormat="1" ht="30" customHeight="1">
      <c r="A225" s="698" t="s">
        <v>182</v>
      </c>
      <c r="B225" s="698"/>
      <c r="C225"/>
      <c r="D225" s="328" t="s">
        <v>515</v>
      </c>
      <c r="E225"/>
      <c r="F225" s="328"/>
      <c r="G225"/>
      <c r="H225" s="328" t="s">
        <v>519</v>
      </c>
      <c r="I225" s="328"/>
      <c r="J225" s="658" t="s">
        <v>488</v>
      </c>
      <c r="K225" s="658"/>
    </row>
    <row r="226" spans="1:11" s="335" customFormat="1">
      <c r="C226"/>
      <c r="D226" s="125" t="s">
        <v>267</v>
      </c>
      <c r="E226"/>
      <c r="F226" s="125" t="s">
        <v>265</v>
      </c>
      <c r="G226"/>
      <c r="H226" s="337" t="s">
        <v>266</v>
      </c>
      <c r="I226" s="337"/>
      <c r="J226" s="646" t="s">
        <v>183</v>
      </c>
      <c r="K226" s="646"/>
    </row>
    <row r="227" spans="1:11" s="335" customFormat="1">
      <c r="G227"/>
      <c r="H227"/>
      <c r="I227"/>
      <c r="J227"/>
    </row>
    <row r="228" spans="1:11" s="335" customFormat="1">
      <c r="A228" s="698" t="s">
        <v>489</v>
      </c>
      <c r="B228" s="698"/>
      <c r="C228" s="698"/>
      <c r="D228" s="698"/>
      <c r="E228" s="698"/>
    </row>
  </sheetData>
  <mergeCells count="121">
    <mergeCell ref="J225:K225"/>
    <mergeCell ref="J226:K226"/>
    <mergeCell ref="A228:E228"/>
    <mergeCell ref="A1:K1"/>
    <mergeCell ref="A4:K4"/>
    <mergeCell ref="A6:B6"/>
    <mergeCell ref="A8:C8"/>
    <mergeCell ref="J13:J15"/>
    <mergeCell ref="K13:K15"/>
    <mergeCell ref="D14:D15"/>
    <mergeCell ref="A42:H42"/>
    <mergeCell ref="B44:D44"/>
    <mergeCell ref="B45:D45"/>
    <mergeCell ref="A13:A15"/>
    <mergeCell ref="B13:B15"/>
    <mergeCell ref="C13:C15"/>
    <mergeCell ref="D13:G13"/>
    <mergeCell ref="H13:H15"/>
    <mergeCell ref="I13:I15"/>
    <mergeCell ref="B52:D52"/>
    <mergeCell ref="B53:D53"/>
    <mergeCell ref="B57:C57"/>
    <mergeCell ref="B58:C58"/>
    <mergeCell ref="B59:C59"/>
    <mergeCell ref="B60:C60"/>
    <mergeCell ref="B46:D46"/>
    <mergeCell ref="B47:D47"/>
    <mergeCell ref="B48:D48"/>
    <mergeCell ref="B49:D49"/>
    <mergeCell ref="B50:D50"/>
    <mergeCell ref="B51:D51"/>
    <mergeCell ref="B70:C70"/>
    <mergeCell ref="B71:C71"/>
    <mergeCell ref="B72:C72"/>
    <mergeCell ref="B73:C73"/>
    <mergeCell ref="B74:C74"/>
    <mergeCell ref="B75:C75"/>
    <mergeCell ref="B61:C61"/>
    <mergeCell ref="B62:C62"/>
    <mergeCell ref="B63:C63"/>
    <mergeCell ref="B64:C64"/>
    <mergeCell ref="B65:C65"/>
    <mergeCell ref="B69:C69"/>
    <mergeCell ref="B84:C84"/>
    <mergeCell ref="B85:C85"/>
    <mergeCell ref="B86:C86"/>
    <mergeCell ref="B87:C87"/>
    <mergeCell ref="B88:C88"/>
    <mergeCell ref="B89:C89"/>
    <mergeCell ref="B76:C76"/>
    <mergeCell ref="B77:C77"/>
    <mergeCell ref="A79:H79"/>
    <mergeCell ref="B81:C81"/>
    <mergeCell ref="B82:C82"/>
    <mergeCell ref="B83:C83"/>
    <mergeCell ref="B102:C102"/>
    <mergeCell ref="B106:C106"/>
    <mergeCell ref="B107:C107"/>
    <mergeCell ref="B108:C108"/>
    <mergeCell ref="B109:C109"/>
    <mergeCell ref="B110:C110"/>
    <mergeCell ref="B94:C94"/>
    <mergeCell ref="B95:C95"/>
    <mergeCell ref="B96:C96"/>
    <mergeCell ref="B97:C97"/>
    <mergeCell ref="B100:C100"/>
    <mergeCell ref="B101:C101"/>
    <mergeCell ref="B120:C120"/>
    <mergeCell ref="B121:C121"/>
    <mergeCell ref="B122:C122"/>
    <mergeCell ref="B123:C123"/>
    <mergeCell ref="B124:C124"/>
    <mergeCell ref="B125:C125"/>
    <mergeCell ref="B111:C111"/>
    <mergeCell ref="B112:C112"/>
    <mergeCell ref="B113:C113"/>
    <mergeCell ref="B114:C114"/>
    <mergeCell ref="B118:C118"/>
    <mergeCell ref="B119:C119"/>
    <mergeCell ref="B135:C135"/>
    <mergeCell ref="B136:C136"/>
    <mergeCell ref="B137:C137"/>
    <mergeCell ref="B138:C138"/>
    <mergeCell ref="B142:C142"/>
    <mergeCell ref="B143:C143"/>
    <mergeCell ref="B126:C126"/>
    <mergeCell ref="B130:C130"/>
    <mergeCell ref="B131:C131"/>
    <mergeCell ref="B132:C132"/>
    <mergeCell ref="B133:C133"/>
    <mergeCell ref="B134:C134"/>
    <mergeCell ref="B162:C162"/>
    <mergeCell ref="B166:C166"/>
    <mergeCell ref="B167:C167"/>
    <mergeCell ref="B168:C168"/>
    <mergeCell ref="B169:C169"/>
    <mergeCell ref="B170:C170"/>
    <mergeCell ref="B144:C144"/>
    <mergeCell ref="B145:C145"/>
    <mergeCell ref="B158:C158"/>
    <mergeCell ref="B159:C159"/>
    <mergeCell ref="B160:C160"/>
    <mergeCell ref="B161:C161"/>
    <mergeCell ref="B171:C171"/>
    <mergeCell ref="B216:C216"/>
    <mergeCell ref="B218:E218"/>
    <mergeCell ref="A222:C222"/>
    <mergeCell ref="A223:C223"/>
    <mergeCell ref="A225:B225"/>
    <mergeCell ref="B194:C194"/>
    <mergeCell ref="B195:C195"/>
    <mergeCell ref="B212:C212"/>
    <mergeCell ref="B213:C213"/>
    <mergeCell ref="B214:C214"/>
    <mergeCell ref="B215:C215"/>
    <mergeCell ref="B185:C185"/>
    <mergeCell ref="B186:C186"/>
    <mergeCell ref="B187:C187"/>
    <mergeCell ref="B188:C188"/>
    <mergeCell ref="B192:C192"/>
    <mergeCell ref="B193:C193"/>
  </mergeCells>
  <pageMargins left="0.7" right="0.7" top="0.75" bottom="0.75" header="0.3" footer="0.3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227"/>
  <sheetViews>
    <sheetView view="pageBreakPreview" topLeftCell="A10" zoomScaleSheetLayoutView="100" workbookViewId="0">
      <selection activeCell="I48" sqref="I48"/>
    </sheetView>
  </sheetViews>
  <sheetFormatPr defaultColWidth="9.140625" defaultRowHeight="15"/>
  <cols>
    <col min="1" max="1" width="8.85546875" style="18" customWidth="1"/>
    <col min="2" max="2" width="17.7109375" style="109" customWidth="1"/>
    <col min="3" max="3" width="14.28515625" style="109" customWidth="1"/>
    <col min="4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>
      <c r="A6" s="482" t="s">
        <v>203</v>
      </c>
      <c r="B6" s="482"/>
      <c r="C6" s="277">
        <v>1210476240</v>
      </c>
    </row>
    <row r="8" spans="1:11">
      <c r="A8" s="482" t="s">
        <v>204</v>
      </c>
      <c r="B8" s="482"/>
      <c r="C8" s="482"/>
      <c r="D8" s="278" t="s">
        <v>497</v>
      </c>
    </row>
    <row r="9" spans="1:11">
      <c r="A9" s="287"/>
      <c r="B9" s="287"/>
      <c r="C9" s="287"/>
    </row>
    <row r="10" spans="1:11">
      <c r="A10" s="110" t="s">
        <v>205</v>
      </c>
      <c r="B10" s="111"/>
      <c r="C10" s="111"/>
      <c r="D10" s="111"/>
    </row>
    <row r="11" spans="1:11">
      <c r="A11" s="110" t="s">
        <v>206</v>
      </c>
      <c r="B11" s="111"/>
      <c r="C11" s="111"/>
      <c r="D11" s="111"/>
    </row>
    <row r="13" spans="1:11" s="112" customFormat="1" ht="12">
      <c r="A13" s="669"/>
      <c r="B13" s="668" t="s">
        <v>207</v>
      </c>
      <c r="C13" s="668" t="s">
        <v>208</v>
      </c>
      <c r="D13" s="668" t="s">
        <v>209</v>
      </c>
      <c r="E13" s="668"/>
      <c r="F13" s="668"/>
      <c r="G13" s="668"/>
      <c r="H13" s="668" t="s">
        <v>210</v>
      </c>
      <c r="I13" s="668" t="s">
        <v>305</v>
      </c>
      <c r="J13" s="668" t="s">
        <v>306</v>
      </c>
      <c r="K13" s="668" t="s">
        <v>307</v>
      </c>
    </row>
    <row r="14" spans="1:11" s="112" customFormat="1" ht="12">
      <c r="A14" s="669"/>
      <c r="B14" s="668"/>
      <c r="C14" s="668"/>
      <c r="D14" s="669" t="s">
        <v>211</v>
      </c>
      <c r="E14" s="293" t="s">
        <v>29</v>
      </c>
      <c r="F14" s="293"/>
      <c r="G14" s="293"/>
      <c r="H14" s="668"/>
      <c r="I14" s="668"/>
      <c r="J14" s="668"/>
      <c r="K14" s="668"/>
    </row>
    <row r="15" spans="1:11" s="114" customFormat="1" ht="36">
      <c r="A15" s="669"/>
      <c r="B15" s="668"/>
      <c r="C15" s="668"/>
      <c r="D15" s="669"/>
      <c r="E15" s="113" t="s">
        <v>212</v>
      </c>
      <c r="F15" s="113" t="s">
        <v>213</v>
      </c>
      <c r="G15" s="113" t="s">
        <v>214</v>
      </c>
      <c r="H15" s="668"/>
      <c r="I15" s="668"/>
      <c r="J15" s="668"/>
      <c r="K15" s="668"/>
    </row>
    <row r="16" spans="1:11" s="116" customFormat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>
      <c r="A17" s="115"/>
      <c r="B17" s="115" t="s">
        <v>364</v>
      </c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24.75">
      <c r="A18" s="117">
        <v>1</v>
      </c>
      <c r="B18" s="113" t="s">
        <v>302</v>
      </c>
      <c r="C18" s="118"/>
      <c r="D18" s="118"/>
      <c r="E18" s="118"/>
      <c r="F18" s="118"/>
      <c r="G18" s="118"/>
      <c r="H18" s="118"/>
      <c r="I18" s="118"/>
      <c r="J18" s="118"/>
      <c r="K18" s="118"/>
    </row>
    <row r="19" spans="1:11">
      <c r="A19" s="117">
        <v>2</v>
      </c>
      <c r="B19" s="113" t="s">
        <v>303</v>
      </c>
      <c r="C19" s="118">
        <v>3</v>
      </c>
      <c r="D19" s="118">
        <f t="shared" ref="D19:D27" si="0">E19+F19+G19</f>
        <v>35000</v>
      </c>
      <c r="E19" s="118"/>
      <c r="F19" s="118">
        <v>35000</v>
      </c>
      <c r="G19" s="118"/>
      <c r="H19" s="118"/>
      <c r="I19" s="118">
        <f t="shared" ref="I19:I27" si="1">C19*D19+H19</f>
        <v>105000</v>
      </c>
      <c r="J19" s="118">
        <v>105000</v>
      </c>
      <c r="K19" s="118">
        <v>105000</v>
      </c>
    </row>
    <row r="20" spans="1:11">
      <c r="A20" s="117">
        <v>3</v>
      </c>
      <c r="B20" s="113" t="s">
        <v>304</v>
      </c>
      <c r="C20" s="118"/>
      <c r="D20" s="118"/>
      <c r="E20" s="118"/>
      <c r="F20" s="118"/>
      <c r="G20" s="118"/>
      <c r="H20" s="118"/>
      <c r="I20" s="157"/>
      <c r="J20" s="157"/>
      <c r="K20" s="157"/>
    </row>
    <row r="21" spans="1:11" hidden="1">
      <c r="A21" s="115"/>
      <c r="B21" s="115"/>
      <c r="C21" s="115"/>
      <c r="D21" s="118">
        <f t="shared" si="0"/>
        <v>0</v>
      </c>
      <c r="E21" s="118"/>
      <c r="F21" s="118"/>
      <c r="G21" s="118"/>
      <c r="H21" s="118"/>
      <c r="I21" s="157">
        <f t="shared" si="1"/>
        <v>0</v>
      </c>
      <c r="J21" s="157"/>
      <c r="K21" s="157"/>
    </row>
    <row r="22" spans="1:11" hidden="1">
      <c r="A22" s="117"/>
      <c r="B22" s="153"/>
      <c r="C22" s="118"/>
      <c r="D22" s="118">
        <f t="shared" si="0"/>
        <v>0</v>
      </c>
      <c r="E22" s="118"/>
      <c r="F22" s="118"/>
      <c r="G22" s="118"/>
      <c r="H22" s="118"/>
      <c r="I22" s="157">
        <f t="shared" si="1"/>
        <v>0</v>
      </c>
      <c r="J22" s="157"/>
      <c r="K22" s="157"/>
    </row>
    <row r="23" spans="1:11" hidden="1">
      <c r="A23" s="117"/>
      <c r="B23" s="153"/>
      <c r="C23" s="118"/>
      <c r="D23" s="118">
        <f t="shared" si="0"/>
        <v>0</v>
      </c>
      <c r="E23" s="118"/>
      <c r="F23" s="118"/>
      <c r="G23" s="118"/>
      <c r="H23" s="118"/>
      <c r="I23" s="157">
        <f t="shared" si="1"/>
        <v>0</v>
      </c>
      <c r="J23" s="157"/>
      <c r="K23" s="157"/>
    </row>
    <row r="24" spans="1:11" hidden="1">
      <c r="A24" s="117"/>
      <c r="B24" s="153"/>
      <c r="C24" s="118"/>
      <c r="D24" s="118">
        <f t="shared" si="0"/>
        <v>0</v>
      </c>
      <c r="E24" s="118"/>
      <c r="F24" s="118"/>
      <c r="G24" s="118"/>
      <c r="H24" s="118"/>
      <c r="I24" s="157">
        <f t="shared" si="1"/>
        <v>0</v>
      </c>
      <c r="J24" s="157"/>
      <c r="K24" s="157"/>
    </row>
    <row r="25" spans="1:11" hidden="1">
      <c r="A25" s="117"/>
      <c r="B25" s="153"/>
      <c r="C25" s="118"/>
      <c r="D25" s="118">
        <f t="shared" si="0"/>
        <v>0</v>
      </c>
      <c r="E25" s="118"/>
      <c r="F25" s="118"/>
      <c r="G25" s="118"/>
      <c r="H25" s="118"/>
      <c r="I25" s="157">
        <f t="shared" si="1"/>
        <v>0</v>
      </c>
      <c r="J25" s="157"/>
      <c r="K25" s="157"/>
    </row>
    <row r="26" spans="1:11" hidden="1">
      <c r="A26" s="117"/>
      <c r="B26" s="153"/>
      <c r="C26" s="118"/>
      <c r="D26" s="118">
        <f t="shared" si="0"/>
        <v>0</v>
      </c>
      <c r="E26" s="118"/>
      <c r="F26" s="118"/>
      <c r="G26" s="118"/>
      <c r="H26" s="118"/>
      <c r="I26" s="157">
        <f t="shared" si="1"/>
        <v>0</v>
      </c>
      <c r="J26" s="157"/>
      <c r="K26" s="157"/>
    </row>
    <row r="27" spans="1:11" hidden="1">
      <c r="A27" s="117"/>
      <c r="B27" s="153"/>
      <c r="C27" s="118"/>
      <c r="D27" s="118">
        <f t="shared" si="0"/>
        <v>0</v>
      </c>
      <c r="E27" s="118"/>
      <c r="F27" s="118"/>
      <c r="G27" s="118"/>
      <c r="H27" s="118"/>
      <c r="I27" s="157">
        <f t="shared" si="1"/>
        <v>0</v>
      </c>
      <c r="J27" s="157"/>
      <c r="K27" s="157"/>
    </row>
    <row r="28" spans="1:11" s="156" customFormat="1">
      <c r="A28" s="154" t="s">
        <v>215</v>
      </c>
      <c r="B28" s="155"/>
      <c r="C28" s="155"/>
      <c r="D28" s="155"/>
      <c r="E28" s="155"/>
      <c r="F28" s="155"/>
      <c r="G28" s="155"/>
      <c r="H28" s="155"/>
      <c r="I28" s="158">
        <f>SUM(I18:I27)</f>
        <v>105000</v>
      </c>
      <c r="J28" s="158">
        <f t="shared" ref="J28:K28" si="2">SUM(J18:J27)</f>
        <v>105000</v>
      </c>
      <c r="K28" s="158">
        <f t="shared" si="2"/>
        <v>105000</v>
      </c>
    </row>
    <row r="30" spans="1:11" s="66" customFormat="1" ht="14.25" hidden="1">
      <c r="A30" s="66" t="s">
        <v>216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idden="1"/>
    <row r="32" spans="1:11" s="112" customFormat="1" ht="48" hidden="1">
      <c r="A32" s="119" t="s">
        <v>217</v>
      </c>
      <c r="B32" s="113" t="s">
        <v>218</v>
      </c>
      <c r="C32" s="113" t="s">
        <v>219</v>
      </c>
      <c r="D32" s="113" t="s">
        <v>220</v>
      </c>
      <c r="E32" s="113" t="s">
        <v>221</v>
      </c>
      <c r="F32" s="113" t="s">
        <v>222</v>
      </c>
      <c r="G32" s="113" t="s">
        <v>222</v>
      </c>
      <c r="H32" s="113" t="s">
        <v>222</v>
      </c>
      <c r="I32" s="120"/>
      <c r="J32" s="120"/>
      <c r="K32" s="120"/>
    </row>
    <row r="33" spans="1:8" s="116" customFormat="1" hidden="1">
      <c r="A33" s="115">
        <v>1</v>
      </c>
      <c r="B33" s="115">
        <v>2</v>
      </c>
      <c r="C33" s="115">
        <v>3</v>
      </c>
      <c r="D33" s="115">
        <v>4</v>
      </c>
      <c r="E33" s="115">
        <v>5</v>
      </c>
      <c r="F33" s="115">
        <v>6</v>
      </c>
      <c r="G33" s="115">
        <v>7</v>
      </c>
      <c r="H33" s="115">
        <v>8</v>
      </c>
    </row>
    <row r="34" spans="1:8" hidden="1">
      <c r="A34" s="117"/>
      <c r="B34" s="118"/>
      <c r="C34" s="118"/>
      <c r="D34" s="118"/>
      <c r="E34" s="118"/>
      <c r="F34" s="118"/>
      <c r="G34" s="118"/>
      <c r="H34" s="118"/>
    </row>
    <row r="35" spans="1:8" hidden="1">
      <c r="A35" s="117"/>
      <c r="B35" s="118"/>
      <c r="C35" s="118"/>
      <c r="D35" s="118"/>
      <c r="E35" s="118"/>
      <c r="F35" s="118"/>
      <c r="G35" s="118"/>
      <c r="H35" s="118"/>
    </row>
    <row r="36" spans="1:8" hidden="1">
      <c r="A36" s="117"/>
      <c r="B36" s="118"/>
      <c r="C36" s="118"/>
      <c r="D36" s="118"/>
      <c r="E36" s="118"/>
      <c r="F36" s="118"/>
      <c r="G36" s="118"/>
      <c r="H36" s="118"/>
    </row>
    <row r="37" spans="1:8" hidden="1">
      <c r="A37" s="117"/>
      <c r="B37" s="118"/>
      <c r="C37" s="118"/>
      <c r="D37" s="118"/>
      <c r="E37" s="118"/>
      <c r="F37" s="118"/>
      <c r="G37" s="118"/>
      <c r="H37" s="118"/>
    </row>
    <row r="38" spans="1:8" hidden="1">
      <c r="A38" s="117"/>
      <c r="B38" s="118"/>
      <c r="C38" s="118"/>
      <c r="D38" s="118"/>
      <c r="E38" s="118"/>
      <c r="F38" s="118"/>
      <c r="G38" s="118"/>
      <c r="H38" s="118"/>
    </row>
    <row r="39" spans="1:8" hidden="1">
      <c r="A39" s="117"/>
      <c r="B39" s="118"/>
      <c r="C39" s="118"/>
      <c r="D39" s="118"/>
      <c r="E39" s="118"/>
      <c r="F39" s="118"/>
      <c r="G39" s="118"/>
      <c r="H39" s="118"/>
    </row>
    <row r="40" spans="1:8" hidden="1">
      <c r="A40" s="117"/>
      <c r="B40" s="118"/>
      <c r="C40" s="118"/>
      <c r="D40" s="118"/>
      <c r="E40" s="118"/>
      <c r="F40" s="118"/>
      <c r="G40" s="118"/>
      <c r="H40" s="118"/>
    </row>
    <row r="42" spans="1:8">
      <c r="A42" s="674" t="s">
        <v>223</v>
      </c>
      <c r="B42" s="674"/>
      <c r="C42" s="674"/>
      <c r="D42" s="674"/>
      <c r="E42" s="674"/>
      <c r="F42" s="674"/>
      <c r="G42" s="674"/>
      <c r="H42" s="674"/>
    </row>
    <row r="44" spans="1:8" ht="48.75">
      <c r="A44" s="119" t="s">
        <v>217</v>
      </c>
      <c r="B44" s="670" t="s">
        <v>224</v>
      </c>
      <c r="C44" s="675"/>
      <c r="D44" s="671"/>
      <c r="E44" s="113" t="s">
        <v>225</v>
      </c>
      <c r="F44" s="113" t="s">
        <v>296</v>
      </c>
      <c r="G44" s="113" t="s">
        <v>297</v>
      </c>
      <c r="H44" s="113" t="s">
        <v>298</v>
      </c>
    </row>
    <row r="45" spans="1:8">
      <c r="A45" s="115">
        <v>1</v>
      </c>
      <c r="B45" s="672">
        <v>2</v>
      </c>
      <c r="C45" s="676"/>
      <c r="D45" s="673"/>
      <c r="E45" s="115">
        <v>3</v>
      </c>
      <c r="F45" s="115">
        <v>4</v>
      </c>
      <c r="G45" s="115">
        <v>5</v>
      </c>
      <c r="H45" s="115">
        <v>6</v>
      </c>
    </row>
    <row r="46" spans="1:8" ht="24" customHeight="1">
      <c r="A46" s="117">
        <v>1</v>
      </c>
      <c r="B46" s="677" t="s">
        <v>226</v>
      </c>
      <c r="C46" s="678"/>
      <c r="D46" s="679"/>
      <c r="E46" s="157"/>
      <c r="F46" s="157">
        <f>F48</f>
        <v>23100</v>
      </c>
      <c r="G46" s="157">
        <f t="shared" ref="G46:H46" si="3">G48</f>
        <v>23100</v>
      </c>
      <c r="H46" s="157">
        <f t="shared" si="3"/>
        <v>23100</v>
      </c>
    </row>
    <row r="47" spans="1:8">
      <c r="A47" s="117"/>
      <c r="B47" s="677" t="s">
        <v>29</v>
      </c>
      <c r="C47" s="678"/>
      <c r="D47" s="679"/>
      <c r="E47" s="157"/>
      <c r="F47" s="157"/>
      <c r="G47" s="157"/>
      <c r="H47" s="157"/>
    </row>
    <row r="48" spans="1:8">
      <c r="A48" s="121"/>
      <c r="B48" s="677" t="s">
        <v>227</v>
      </c>
      <c r="C48" s="678"/>
      <c r="D48" s="679"/>
      <c r="E48" s="157">
        <f>I19</f>
        <v>105000</v>
      </c>
      <c r="F48" s="157">
        <f>ROUND(E48*0.22,0)</f>
        <v>23100</v>
      </c>
      <c r="G48" s="157">
        <f>ROUND(J28*0.22,0)</f>
        <v>23100</v>
      </c>
      <c r="H48" s="157">
        <f>ROUND(K28*0.22,0)</f>
        <v>23100</v>
      </c>
    </row>
    <row r="49" spans="1:11">
      <c r="A49" s="117">
        <v>2</v>
      </c>
      <c r="B49" s="677" t="s">
        <v>228</v>
      </c>
      <c r="C49" s="678"/>
      <c r="D49" s="679"/>
      <c r="E49" s="157"/>
      <c r="F49" s="157">
        <f>F50+F51</f>
        <v>3255</v>
      </c>
      <c r="G49" s="157">
        <f t="shared" ref="G49:H49" si="4">G50+G51</f>
        <v>3255</v>
      </c>
      <c r="H49" s="157">
        <f t="shared" si="4"/>
        <v>3255</v>
      </c>
    </row>
    <row r="50" spans="1:11">
      <c r="A50" s="117"/>
      <c r="B50" s="677" t="s">
        <v>229</v>
      </c>
      <c r="C50" s="678"/>
      <c r="D50" s="679"/>
      <c r="E50" s="157">
        <f>E48</f>
        <v>105000</v>
      </c>
      <c r="F50" s="157">
        <f>ROUND(E50*0.029,0)</f>
        <v>3045</v>
      </c>
      <c r="G50" s="157">
        <f>ROUND(J28*0.029,0)</f>
        <v>3045</v>
      </c>
      <c r="H50" s="157">
        <f>ROUND(K28*0.029,0)</f>
        <v>3045</v>
      </c>
    </row>
    <row r="51" spans="1:11">
      <c r="A51" s="117"/>
      <c r="B51" s="677" t="s">
        <v>230</v>
      </c>
      <c r="C51" s="678"/>
      <c r="D51" s="679"/>
      <c r="E51" s="157">
        <f>E50</f>
        <v>105000</v>
      </c>
      <c r="F51" s="157">
        <f>ROUND(E51*0.002,0)</f>
        <v>210</v>
      </c>
      <c r="G51" s="157">
        <f>ROUND(J28*0.002,0)</f>
        <v>210</v>
      </c>
      <c r="H51" s="157">
        <f>ROUND(K28*0.002,0)</f>
        <v>210</v>
      </c>
    </row>
    <row r="52" spans="1:11">
      <c r="A52" s="117">
        <v>3</v>
      </c>
      <c r="B52" s="677" t="s">
        <v>231</v>
      </c>
      <c r="C52" s="678"/>
      <c r="D52" s="679"/>
      <c r="E52" s="157">
        <f>E51</f>
        <v>105000</v>
      </c>
      <c r="F52" s="157">
        <f>ROUND(E52*0.051,0)</f>
        <v>5355</v>
      </c>
      <c r="G52" s="157">
        <f>ROUND(J28*0.051,0)</f>
        <v>5355</v>
      </c>
      <c r="H52" s="157">
        <f>ROUND(K28*0.051,0)+1</f>
        <v>5356</v>
      </c>
    </row>
    <row r="53" spans="1:11" s="156" customFormat="1">
      <c r="A53" s="154"/>
      <c r="B53" s="680" t="s">
        <v>215</v>
      </c>
      <c r="C53" s="680"/>
      <c r="D53" s="680"/>
      <c r="E53" s="158"/>
      <c r="F53" s="158">
        <f>F46+F49+F52</f>
        <v>31710</v>
      </c>
      <c r="G53" s="158">
        <f t="shared" ref="G53:H53" si="5">G46+G49+G52</f>
        <v>31710</v>
      </c>
      <c r="H53" s="158">
        <f t="shared" si="5"/>
        <v>31711</v>
      </c>
      <c r="I53" s="159"/>
      <c r="J53" s="159"/>
      <c r="K53" s="159"/>
    </row>
    <row r="54" spans="1:11" ht="15.75" thickBot="1"/>
    <row r="55" spans="1:11" s="66" customFormat="1" ht="14.25" hidden="1">
      <c r="A55" s="66" t="s">
        <v>232</v>
      </c>
      <c r="B55" s="111"/>
      <c r="C55" s="111"/>
      <c r="D55" s="111"/>
      <c r="E55" s="111"/>
      <c r="F55" s="111"/>
      <c r="G55" s="111"/>
      <c r="H55" s="111"/>
      <c r="I55" s="111"/>
      <c r="J55" s="111"/>
      <c r="K55" s="111"/>
    </row>
    <row r="56" spans="1:11" hidden="1"/>
    <row r="57" spans="1:11" ht="24.75" hidden="1">
      <c r="A57" s="119" t="s">
        <v>217</v>
      </c>
      <c r="B57" s="670" t="s">
        <v>0</v>
      </c>
      <c r="C57" s="671"/>
      <c r="D57" s="113" t="s">
        <v>233</v>
      </c>
      <c r="E57" s="113" t="s">
        <v>234</v>
      </c>
      <c r="F57" s="113" t="s">
        <v>299</v>
      </c>
      <c r="G57" s="113" t="s">
        <v>300</v>
      </c>
      <c r="H57" s="113" t="s">
        <v>301</v>
      </c>
    </row>
    <row r="58" spans="1:11" hidden="1">
      <c r="A58" s="115">
        <v>1</v>
      </c>
      <c r="B58" s="672">
        <v>2</v>
      </c>
      <c r="C58" s="673"/>
      <c r="D58" s="115">
        <v>3</v>
      </c>
      <c r="E58" s="115">
        <v>4</v>
      </c>
      <c r="F58" s="115">
        <v>5</v>
      </c>
      <c r="G58" s="115">
        <v>6</v>
      </c>
      <c r="H58" s="115">
        <v>7</v>
      </c>
    </row>
    <row r="59" spans="1:11" hidden="1">
      <c r="A59" s="117">
        <v>1</v>
      </c>
      <c r="B59" s="672" t="s">
        <v>308</v>
      </c>
      <c r="C59" s="673"/>
      <c r="D59" s="118"/>
      <c r="E59" s="118"/>
      <c r="F59" s="157">
        <f>D59*E59</f>
        <v>0</v>
      </c>
      <c r="G59" s="157"/>
      <c r="H59" s="157"/>
    </row>
    <row r="60" spans="1:11" hidden="1">
      <c r="A60" s="117">
        <v>2</v>
      </c>
      <c r="B60" s="672" t="s">
        <v>362</v>
      </c>
      <c r="C60" s="673"/>
      <c r="D60" s="118"/>
      <c r="E60" s="118"/>
      <c r="F60" s="157">
        <f t="shared" ref="F60:F64" si="6">D60*E60</f>
        <v>0</v>
      </c>
      <c r="G60" s="157"/>
      <c r="H60" s="157"/>
    </row>
    <row r="61" spans="1:11" hidden="1">
      <c r="A61" s="117"/>
      <c r="B61" s="672"/>
      <c r="C61" s="673"/>
      <c r="D61" s="118"/>
      <c r="E61" s="118"/>
      <c r="F61" s="157">
        <f t="shared" si="6"/>
        <v>0</v>
      </c>
      <c r="G61" s="157"/>
      <c r="H61" s="157"/>
    </row>
    <row r="62" spans="1:11" hidden="1">
      <c r="A62" s="117"/>
      <c r="B62" s="672"/>
      <c r="C62" s="673"/>
      <c r="D62" s="118"/>
      <c r="E62" s="118"/>
      <c r="F62" s="157">
        <f t="shared" si="6"/>
        <v>0</v>
      </c>
      <c r="G62" s="157"/>
      <c r="H62" s="157"/>
    </row>
    <row r="63" spans="1:11" hidden="1">
      <c r="A63" s="117"/>
      <c r="B63" s="672"/>
      <c r="C63" s="673"/>
      <c r="D63" s="118"/>
      <c r="E63" s="118"/>
      <c r="F63" s="157">
        <f t="shared" si="6"/>
        <v>0</v>
      </c>
      <c r="G63" s="157"/>
      <c r="H63" s="157"/>
    </row>
    <row r="64" spans="1:11" hidden="1">
      <c r="A64" s="117"/>
      <c r="B64" s="672"/>
      <c r="C64" s="673"/>
      <c r="D64" s="118"/>
      <c r="E64" s="118"/>
      <c r="F64" s="157">
        <f t="shared" si="6"/>
        <v>0</v>
      </c>
      <c r="G64" s="157"/>
      <c r="H64" s="157"/>
    </row>
    <row r="65" spans="1:11" s="156" customFormat="1" hidden="1">
      <c r="A65" s="154"/>
      <c r="B65" s="681" t="s">
        <v>215</v>
      </c>
      <c r="C65" s="682"/>
      <c r="D65" s="155"/>
      <c r="E65" s="155"/>
      <c r="F65" s="158">
        <f>SUM(F59:F64)</f>
        <v>0</v>
      </c>
      <c r="G65" s="158">
        <f t="shared" ref="G65:H65" si="7">SUM(G59:G64)</f>
        <v>0</v>
      </c>
      <c r="H65" s="158">
        <f t="shared" si="7"/>
        <v>0</v>
      </c>
      <c r="I65" s="159"/>
      <c r="J65" s="159"/>
      <c r="K65" s="159"/>
    </row>
    <row r="66" spans="1:11" hidden="1"/>
    <row r="67" spans="1:11" s="66" customFormat="1" ht="14.25" hidden="1">
      <c r="A67" s="66" t="s">
        <v>235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</row>
    <row r="68" spans="1:11" hidden="1"/>
    <row r="69" spans="1:11" ht="72.75" hidden="1">
      <c r="A69" s="119" t="s">
        <v>217</v>
      </c>
      <c r="B69" s="670" t="s">
        <v>236</v>
      </c>
      <c r="C69" s="671"/>
      <c r="D69" s="113" t="s">
        <v>237</v>
      </c>
      <c r="E69" s="113" t="s">
        <v>238</v>
      </c>
      <c r="F69" s="113" t="s">
        <v>311</v>
      </c>
      <c r="G69" s="113" t="s">
        <v>312</v>
      </c>
      <c r="H69" s="113" t="s">
        <v>313</v>
      </c>
    </row>
    <row r="70" spans="1:11" hidden="1">
      <c r="A70" s="115">
        <v>1</v>
      </c>
      <c r="B70" s="672">
        <v>2</v>
      </c>
      <c r="C70" s="673"/>
      <c r="D70" s="115">
        <v>3</v>
      </c>
      <c r="E70" s="115">
        <v>4</v>
      </c>
      <c r="F70" s="115">
        <v>5</v>
      </c>
      <c r="G70" s="115">
        <v>6</v>
      </c>
      <c r="H70" s="115">
        <v>7</v>
      </c>
    </row>
    <row r="71" spans="1:11" hidden="1">
      <c r="A71" s="117">
        <v>1</v>
      </c>
      <c r="B71" s="684" t="s">
        <v>309</v>
      </c>
      <c r="C71" s="685"/>
      <c r="D71" s="118"/>
      <c r="E71" s="160">
        <v>1.4999999999999999E-2</v>
      </c>
      <c r="F71" s="157">
        <f>ROUND(D71*E71,0)</f>
        <v>0</v>
      </c>
      <c r="G71" s="157">
        <f>F71</f>
        <v>0</v>
      </c>
      <c r="H71" s="157">
        <f>G71</f>
        <v>0</v>
      </c>
    </row>
    <row r="72" spans="1:11" hidden="1">
      <c r="A72" s="117">
        <v>2</v>
      </c>
      <c r="B72" s="684" t="s">
        <v>310</v>
      </c>
      <c r="C72" s="685"/>
      <c r="D72" s="118"/>
      <c r="E72" s="160">
        <v>2.1999999999999999E-2</v>
      </c>
      <c r="F72" s="157">
        <f>ROUND(D72*E72,0)</f>
        <v>0</v>
      </c>
      <c r="G72" s="157">
        <f>F72</f>
        <v>0</v>
      </c>
      <c r="H72" s="157">
        <f>G72</f>
        <v>0</v>
      </c>
    </row>
    <row r="73" spans="1:11" hidden="1">
      <c r="A73" s="117"/>
      <c r="B73" s="672"/>
      <c r="C73" s="673"/>
      <c r="D73" s="118"/>
      <c r="E73" s="118"/>
      <c r="F73" s="157"/>
      <c r="G73" s="157"/>
      <c r="H73" s="157"/>
    </row>
    <row r="74" spans="1:11" hidden="1">
      <c r="A74" s="117"/>
      <c r="B74" s="672"/>
      <c r="C74" s="673"/>
      <c r="D74" s="118"/>
      <c r="E74" s="118"/>
      <c r="F74" s="157"/>
      <c r="G74" s="157"/>
      <c r="H74" s="157"/>
    </row>
    <row r="75" spans="1:11" hidden="1">
      <c r="A75" s="117"/>
      <c r="B75" s="672"/>
      <c r="C75" s="673"/>
      <c r="D75" s="118"/>
      <c r="E75" s="118"/>
      <c r="F75" s="157"/>
      <c r="G75" s="157"/>
      <c r="H75" s="157"/>
    </row>
    <row r="76" spans="1:11" hidden="1">
      <c r="A76" s="117"/>
      <c r="B76" s="672"/>
      <c r="C76" s="673"/>
      <c r="D76" s="118"/>
      <c r="E76" s="118"/>
      <c r="F76" s="157"/>
      <c r="G76" s="157"/>
      <c r="H76" s="157"/>
    </row>
    <row r="77" spans="1:11" s="156" customFormat="1" hidden="1">
      <c r="A77" s="154"/>
      <c r="B77" s="681" t="s">
        <v>215</v>
      </c>
      <c r="C77" s="682"/>
      <c r="D77" s="155"/>
      <c r="E77" s="155"/>
      <c r="F77" s="158">
        <f>SUM(F71:F76)</f>
        <v>0</v>
      </c>
      <c r="G77" s="158">
        <f t="shared" ref="G77:H77" si="8">SUM(G71:G76)</f>
        <v>0</v>
      </c>
      <c r="H77" s="158">
        <f t="shared" si="8"/>
        <v>0</v>
      </c>
      <c r="I77" s="159"/>
      <c r="J77" s="159"/>
      <c r="K77" s="159"/>
    </row>
    <row r="78" spans="1:11" hidden="1"/>
    <row r="79" spans="1:11" hidden="1">
      <c r="A79" s="683" t="s">
        <v>239</v>
      </c>
      <c r="B79" s="683"/>
      <c r="C79" s="683"/>
      <c r="D79" s="683"/>
      <c r="E79" s="683"/>
      <c r="F79" s="683"/>
      <c r="G79" s="683"/>
      <c r="H79" s="683"/>
    </row>
    <row r="80" spans="1:11" hidden="1"/>
    <row r="81" spans="1:11" ht="36.75" hidden="1">
      <c r="A81" s="119" t="s">
        <v>217</v>
      </c>
      <c r="B81" s="670" t="s">
        <v>0</v>
      </c>
      <c r="C81" s="671"/>
      <c r="D81" s="113" t="s">
        <v>240</v>
      </c>
      <c r="E81" s="113" t="s">
        <v>234</v>
      </c>
      <c r="F81" s="113" t="s">
        <v>241</v>
      </c>
      <c r="G81" s="113" t="s">
        <v>241</v>
      </c>
      <c r="H81" s="113" t="s">
        <v>241</v>
      </c>
    </row>
    <row r="82" spans="1:11" hidden="1">
      <c r="A82" s="115">
        <v>1</v>
      </c>
      <c r="B82" s="672">
        <v>2</v>
      </c>
      <c r="C82" s="673"/>
      <c r="D82" s="115">
        <v>3</v>
      </c>
      <c r="E82" s="115">
        <v>4</v>
      </c>
      <c r="F82" s="115">
        <v>5</v>
      </c>
      <c r="G82" s="115">
        <v>6</v>
      </c>
      <c r="H82" s="115">
        <v>7</v>
      </c>
    </row>
    <row r="83" spans="1:11" hidden="1">
      <c r="A83" s="117"/>
      <c r="B83" s="672"/>
      <c r="C83" s="673"/>
      <c r="D83" s="118"/>
      <c r="E83" s="118"/>
      <c r="F83" s="118"/>
      <c r="G83" s="118"/>
      <c r="H83" s="118"/>
    </row>
    <row r="84" spans="1:11" hidden="1">
      <c r="A84" s="117"/>
      <c r="B84" s="672"/>
      <c r="C84" s="673"/>
      <c r="D84" s="118"/>
      <c r="E84" s="118"/>
      <c r="F84" s="118"/>
      <c r="G84" s="118"/>
      <c r="H84" s="118"/>
    </row>
    <row r="85" spans="1:11" hidden="1">
      <c r="A85" s="117"/>
      <c r="B85" s="672"/>
      <c r="C85" s="673"/>
      <c r="D85" s="118"/>
      <c r="E85" s="118"/>
      <c r="F85" s="118"/>
      <c r="G85" s="118"/>
      <c r="H85" s="118"/>
    </row>
    <row r="86" spans="1:11" hidden="1">
      <c r="A86" s="117"/>
      <c r="B86" s="672"/>
      <c r="C86" s="673"/>
      <c r="D86" s="118"/>
      <c r="E86" s="118"/>
      <c r="F86" s="118"/>
      <c r="G86" s="118"/>
      <c r="H86" s="118"/>
    </row>
    <row r="87" spans="1:11" hidden="1">
      <c r="A87" s="117"/>
      <c r="B87" s="672"/>
      <c r="C87" s="673"/>
      <c r="D87" s="118"/>
      <c r="E87" s="118"/>
      <c r="F87" s="118"/>
      <c r="G87" s="118"/>
      <c r="H87" s="118"/>
    </row>
    <row r="88" spans="1:11" hidden="1">
      <c r="A88" s="117"/>
      <c r="B88" s="672"/>
      <c r="C88" s="673"/>
      <c r="D88" s="118"/>
      <c r="E88" s="118"/>
      <c r="F88" s="118"/>
      <c r="G88" s="118"/>
      <c r="H88" s="118"/>
    </row>
    <row r="89" spans="1:11" hidden="1">
      <c r="A89" s="117"/>
      <c r="B89" s="672" t="s">
        <v>215</v>
      </c>
      <c r="C89" s="673"/>
      <c r="D89" s="118"/>
      <c r="E89" s="118"/>
      <c r="F89" s="118"/>
      <c r="G89" s="118"/>
      <c r="H89" s="118"/>
    </row>
    <row r="90" spans="1:11" hidden="1"/>
    <row r="91" spans="1:11" s="66" customFormat="1" ht="14.25" hidden="1">
      <c r="A91" s="66" t="s">
        <v>242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1:11" s="66" customFormat="1" ht="14.25" hidden="1">
      <c r="A92" s="66" t="s">
        <v>243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</row>
    <row r="93" spans="1:11" hidden="1"/>
    <row r="94" spans="1:11" ht="24.75" hidden="1">
      <c r="A94" s="119" t="s">
        <v>217</v>
      </c>
      <c r="B94" s="670" t="s">
        <v>314</v>
      </c>
      <c r="C94" s="671"/>
      <c r="D94" s="113" t="s">
        <v>244</v>
      </c>
      <c r="E94" s="113" t="s">
        <v>245</v>
      </c>
      <c r="F94" s="113" t="s">
        <v>246</v>
      </c>
      <c r="G94" s="113" t="s">
        <v>299</v>
      </c>
      <c r="H94" s="113" t="s">
        <v>300</v>
      </c>
      <c r="I94" s="113" t="s">
        <v>301</v>
      </c>
    </row>
    <row r="95" spans="1:11" hidden="1">
      <c r="A95" s="115">
        <v>1</v>
      </c>
      <c r="B95" s="672">
        <v>2</v>
      </c>
      <c r="C95" s="673"/>
      <c r="D95" s="115">
        <v>3</v>
      </c>
      <c r="E95" s="115">
        <v>4</v>
      </c>
      <c r="F95" s="115">
        <v>5</v>
      </c>
      <c r="G95" s="115">
        <v>6</v>
      </c>
      <c r="H95" s="115">
        <v>7</v>
      </c>
      <c r="I95" s="115">
        <v>8</v>
      </c>
    </row>
    <row r="96" spans="1:11" hidden="1">
      <c r="A96" s="117"/>
      <c r="B96" s="684" t="s">
        <v>244</v>
      </c>
      <c r="C96" s="685"/>
      <c r="D96" s="118"/>
      <c r="E96" s="118"/>
      <c r="F96" s="118"/>
      <c r="G96" s="157"/>
      <c r="H96" s="157"/>
      <c r="I96" s="157"/>
    </row>
    <row r="97" spans="1:11" hidden="1">
      <c r="A97" s="117"/>
      <c r="B97" s="684" t="s">
        <v>315</v>
      </c>
      <c r="C97" s="685"/>
      <c r="D97" s="118"/>
      <c r="E97" s="118"/>
      <c r="F97" s="118">
        <v>247.8</v>
      </c>
      <c r="G97" s="157">
        <f>D97*E97*F97</f>
        <v>0</v>
      </c>
      <c r="H97" s="157"/>
      <c r="I97" s="157"/>
    </row>
    <row r="98" spans="1:11" hidden="1">
      <c r="A98" s="117"/>
      <c r="B98" s="296" t="s">
        <v>316</v>
      </c>
      <c r="C98" s="297"/>
      <c r="D98" s="118"/>
      <c r="E98" s="118"/>
      <c r="F98" s="118">
        <v>0.61</v>
      </c>
      <c r="G98" s="157">
        <f t="shared" ref="G98:G99" si="9">D98*E98*F98</f>
        <v>0</v>
      </c>
      <c r="H98" s="157"/>
      <c r="I98" s="157"/>
    </row>
    <row r="99" spans="1:11" hidden="1">
      <c r="A99" s="117"/>
      <c r="B99" s="296" t="s">
        <v>317</v>
      </c>
      <c r="C99" s="297"/>
      <c r="D99" s="118"/>
      <c r="E99" s="118"/>
      <c r="F99" s="118">
        <v>2341.4299999999998</v>
      </c>
      <c r="G99" s="157">
        <f t="shared" si="9"/>
        <v>0</v>
      </c>
      <c r="H99" s="157"/>
      <c r="I99" s="157"/>
    </row>
    <row r="100" spans="1:11" hidden="1">
      <c r="A100" s="117"/>
      <c r="B100" s="672"/>
      <c r="C100" s="673"/>
      <c r="D100" s="118"/>
      <c r="E100" s="118"/>
      <c r="F100" s="118"/>
      <c r="G100" s="157"/>
      <c r="H100" s="157"/>
      <c r="I100" s="157"/>
    </row>
    <row r="101" spans="1:11" hidden="1">
      <c r="A101" s="117"/>
      <c r="B101" s="672"/>
      <c r="C101" s="673"/>
      <c r="D101" s="118"/>
      <c r="E101" s="118"/>
      <c r="F101" s="118"/>
      <c r="G101" s="157"/>
      <c r="H101" s="157"/>
      <c r="I101" s="157"/>
    </row>
    <row r="102" spans="1:11" s="156" customFormat="1" hidden="1">
      <c r="A102" s="154"/>
      <c r="B102" s="681" t="s">
        <v>215</v>
      </c>
      <c r="C102" s="682"/>
      <c r="D102" s="155"/>
      <c r="E102" s="155"/>
      <c r="F102" s="155"/>
      <c r="G102" s="158">
        <f>ROUND(SUM(G96:G101),0)</f>
        <v>0</v>
      </c>
      <c r="H102" s="158">
        <f t="shared" ref="H102:I102" si="10">SUM(H96:H101)</f>
        <v>0</v>
      </c>
      <c r="I102" s="158">
        <f t="shared" si="10"/>
        <v>0</v>
      </c>
      <c r="J102" s="159"/>
      <c r="K102" s="159"/>
    </row>
    <row r="103" spans="1:11" hidden="1"/>
    <row r="104" spans="1:11" s="66" customFormat="1" ht="14.25" hidden="1">
      <c r="A104" s="66" t="s">
        <v>247</v>
      </c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</row>
    <row r="105" spans="1:11" hidden="1"/>
    <row r="106" spans="1:11" ht="36.75" hidden="1">
      <c r="A106" s="119" t="s">
        <v>217</v>
      </c>
      <c r="B106" s="670" t="s">
        <v>236</v>
      </c>
      <c r="C106" s="671"/>
      <c r="D106" s="113" t="s">
        <v>248</v>
      </c>
      <c r="E106" s="113" t="s">
        <v>249</v>
      </c>
      <c r="F106" s="113" t="s">
        <v>299</v>
      </c>
      <c r="G106" s="113" t="s">
        <v>300</v>
      </c>
      <c r="H106" s="113" t="s">
        <v>301</v>
      </c>
    </row>
    <row r="107" spans="1:11" hidden="1">
      <c r="A107" s="115">
        <v>1</v>
      </c>
      <c r="B107" s="672">
        <v>2</v>
      </c>
      <c r="C107" s="673"/>
      <c r="D107" s="115">
        <v>3</v>
      </c>
      <c r="E107" s="115">
        <v>4</v>
      </c>
      <c r="F107" s="115">
        <v>5</v>
      </c>
      <c r="G107" s="115">
        <v>6</v>
      </c>
      <c r="H107" s="115">
        <v>7</v>
      </c>
    </row>
    <row r="108" spans="1:11" hidden="1">
      <c r="A108" s="117">
        <v>1</v>
      </c>
      <c r="B108" s="672" t="s">
        <v>353</v>
      </c>
      <c r="C108" s="673"/>
      <c r="D108" s="118"/>
      <c r="E108" s="118"/>
      <c r="F108" s="118">
        <f>D108*E108</f>
        <v>0</v>
      </c>
      <c r="G108" s="118"/>
      <c r="H108" s="118"/>
    </row>
    <row r="109" spans="1:11" hidden="1">
      <c r="A109" s="117"/>
      <c r="B109" s="672"/>
      <c r="C109" s="673"/>
      <c r="D109" s="118"/>
      <c r="E109" s="118"/>
      <c r="F109" s="118">
        <f t="shared" ref="F109:F113" si="11">D109*E109</f>
        <v>0</v>
      </c>
      <c r="G109" s="118"/>
      <c r="H109" s="118"/>
    </row>
    <row r="110" spans="1:11" hidden="1">
      <c r="A110" s="117"/>
      <c r="B110" s="672"/>
      <c r="C110" s="673"/>
      <c r="D110" s="118"/>
      <c r="E110" s="118"/>
      <c r="F110" s="118">
        <f t="shared" si="11"/>
        <v>0</v>
      </c>
      <c r="G110" s="118"/>
      <c r="H110" s="118"/>
    </row>
    <row r="111" spans="1:11" hidden="1">
      <c r="A111" s="117"/>
      <c r="B111" s="672"/>
      <c r="C111" s="673"/>
      <c r="D111" s="118"/>
      <c r="E111" s="118"/>
      <c r="F111" s="118">
        <f t="shared" si="11"/>
        <v>0</v>
      </c>
      <c r="G111" s="118"/>
      <c r="H111" s="118"/>
    </row>
    <row r="112" spans="1:11" hidden="1">
      <c r="A112" s="117"/>
      <c r="B112" s="672"/>
      <c r="C112" s="673"/>
      <c r="D112" s="118"/>
      <c r="E112" s="118"/>
      <c r="F112" s="118">
        <f t="shared" si="11"/>
        <v>0</v>
      </c>
      <c r="G112" s="118"/>
      <c r="H112" s="118"/>
    </row>
    <row r="113" spans="1:11" hidden="1">
      <c r="A113" s="117"/>
      <c r="B113" s="672"/>
      <c r="C113" s="673"/>
      <c r="D113" s="118"/>
      <c r="E113" s="118"/>
      <c r="F113" s="118">
        <f t="shared" si="11"/>
        <v>0</v>
      </c>
      <c r="G113" s="118"/>
      <c r="H113" s="118"/>
    </row>
    <row r="114" spans="1:11" s="156" customFormat="1" hidden="1">
      <c r="A114" s="154"/>
      <c r="B114" s="681" t="s">
        <v>215</v>
      </c>
      <c r="C114" s="682"/>
      <c r="D114" s="155"/>
      <c r="E114" s="155"/>
      <c r="F114" s="155">
        <f>SUM(F108:F113)</f>
        <v>0</v>
      </c>
      <c r="G114" s="155">
        <f t="shared" ref="G114:H114" si="12">SUM(G108:G113)</f>
        <v>0</v>
      </c>
      <c r="H114" s="155">
        <f t="shared" si="12"/>
        <v>0</v>
      </c>
      <c r="I114" s="159"/>
      <c r="J114" s="159"/>
      <c r="K114" s="159"/>
    </row>
    <row r="115" spans="1:11" hidden="1"/>
    <row r="116" spans="1:11" s="66" customFormat="1" ht="14.25" hidden="1">
      <c r="A116" s="66" t="s">
        <v>250</v>
      </c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</row>
    <row r="117" spans="1:11" hidden="1"/>
    <row r="118" spans="1:11" ht="36.75" hidden="1">
      <c r="A118" s="119" t="s">
        <v>217</v>
      </c>
      <c r="B118" s="670" t="s">
        <v>0</v>
      </c>
      <c r="C118" s="671"/>
      <c r="D118" s="113" t="s">
        <v>251</v>
      </c>
      <c r="E118" s="113" t="s">
        <v>252</v>
      </c>
      <c r="F118" s="113" t="s">
        <v>253</v>
      </c>
      <c r="G118" s="113" t="s">
        <v>299</v>
      </c>
      <c r="H118" s="113" t="s">
        <v>300</v>
      </c>
      <c r="I118" s="113" t="s">
        <v>301</v>
      </c>
    </row>
    <row r="119" spans="1:11" hidden="1">
      <c r="A119" s="115">
        <v>1</v>
      </c>
      <c r="B119" s="672">
        <v>2</v>
      </c>
      <c r="C119" s="673"/>
      <c r="D119" s="115">
        <v>3</v>
      </c>
      <c r="E119" s="115">
        <v>4</v>
      </c>
      <c r="F119" s="115">
        <v>5</v>
      </c>
      <c r="G119" s="115">
        <v>6</v>
      </c>
      <c r="H119" s="115">
        <v>7</v>
      </c>
      <c r="I119" s="115">
        <v>8</v>
      </c>
    </row>
    <row r="120" spans="1:11" hidden="1">
      <c r="A120" s="117"/>
      <c r="B120" s="672" t="s">
        <v>354</v>
      </c>
      <c r="C120" s="673"/>
      <c r="D120" s="118"/>
      <c r="E120" s="118"/>
      <c r="F120" s="118"/>
      <c r="G120" s="118">
        <f>D120*E120*F120</f>
        <v>0</v>
      </c>
      <c r="H120" s="118"/>
      <c r="I120" s="118"/>
    </row>
    <row r="121" spans="1:11" hidden="1">
      <c r="A121" s="117"/>
      <c r="B121" s="672"/>
      <c r="C121" s="673"/>
      <c r="D121" s="118"/>
      <c r="E121" s="118"/>
      <c r="F121" s="118"/>
      <c r="G121" s="118">
        <f t="shared" ref="G121:G125" si="13">D121*E121*F121</f>
        <v>0</v>
      </c>
      <c r="H121" s="118"/>
      <c r="I121" s="118"/>
    </row>
    <row r="122" spans="1:11" hidden="1">
      <c r="A122" s="117"/>
      <c r="B122" s="672" t="s">
        <v>354</v>
      </c>
      <c r="C122" s="673"/>
      <c r="D122" s="118"/>
      <c r="E122" s="118"/>
      <c r="F122" s="118"/>
      <c r="G122" s="118">
        <f t="shared" si="13"/>
        <v>0</v>
      </c>
      <c r="H122" s="118"/>
      <c r="I122" s="118"/>
    </row>
    <row r="123" spans="1:11" hidden="1">
      <c r="A123" s="117"/>
      <c r="B123" s="672"/>
      <c r="C123" s="673"/>
      <c r="D123" s="118"/>
      <c r="E123" s="118"/>
      <c r="F123" s="118"/>
      <c r="G123" s="118">
        <f t="shared" si="13"/>
        <v>0</v>
      </c>
      <c r="H123" s="118"/>
      <c r="I123" s="118"/>
    </row>
    <row r="124" spans="1:11" hidden="1">
      <c r="A124" s="117"/>
      <c r="B124" s="672" t="s">
        <v>354</v>
      </c>
      <c r="C124" s="673"/>
      <c r="D124" s="118"/>
      <c r="E124" s="118"/>
      <c r="F124" s="118"/>
      <c r="G124" s="118">
        <f t="shared" si="13"/>
        <v>0</v>
      </c>
      <c r="H124" s="118"/>
      <c r="I124" s="118"/>
    </row>
    <row r="125" spans="1:11" hidden="1">
      <c r="A125" s="117"/>
      <c r="B125" s="672"/>
      <c r="C125" s="673"/>
      <c r="D125" s="118"/>
      <c r="E125" s="118"/>
      <c r="F125" s="118"/>
      <c r="G125" s="118">
        <f t="shared" si="13"/>
        <v>0</v>
      </c>
      <c r="H125" s="118"/>
      <c r="I125" s="118"/>
    </row>
    <row r="126" spans="1:11" s="156" customFormat="1" hidden="1">
      <c r="A126" s="154"/>
      <c r="B126" s="681" t="s">
        <v>215</v>
      </c>
      <c r="C126" s="682"/>
      <c r="D126" s="155"/>
      <c r="E126" s="155"/>
      <c r="F126" s="155"/>
      <c r="G126" s="155">
        <f>SUM(G120:G125)</f>
        <v>0</v>
      </c>
      <c r="H126" s="155">
        <f t="shared" ref="H126:I126" si="14">SUM(H120:H125)</f>
        <v>0</v>
      </c>
      <c r="I126" s="155">
        <f t="shared" si="14"/>
        <v>0</v>
      </c>
      <c r="J126" s="159"/>
      <c r="K126" s="159"/>
    </row>
    <row r="127" spans="1:11" hidden="1"/>
    <row r="128" spans="1:11" s="66" customFormat="1" ht="14.25" hidden="1">
      <c r="A128" s="66" t="s">
        <v>254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</row>
    <row r="129" spans="1:11" hidden="1"/>
    <row r="130" spans="1:11" ht="48.75" hidden="1">
      <c r="A130" s="119" t="s">
        <v>217</v>
      </c>
      <c r="B130" s="670" t="s">
        <v>0</v>
      </c>
      <c r="C130" s="671"/>
      <c r="D130" s="113" t="s">
        <v>255</v>
      </c>
      <c r="E130" s="113" t="s">
        <v>256</v>
      </c>
      <c r="F130" s="113" t="s">
        <v>257</v>
      </c>
      <c r="G130" s="113" t="s">
        <v>257</v>
      </c>
      <c r="H130" s="113" t="s">
        <v>257</v>
      </c>
    </row>
    <row r="131" spans="1:11" hidden="1">
      <c r="A131" s="115">
        <v>1</v>
      </c>
      <c r="B131" s="672">
        <v>2</v>
      </c>
      <c r="C131" s="673"/>
      <c r="D131" s="115">
        <v>3</v>
      </c>
      <c r="E131" s="115">
        <v>4</v>
      </c>
      <c r="F131" s="115">
        <v>5</v>
      </c>
      <c r="G131" s="115">
        <v>6</v>
      </c>
      <c r="H131" s="115">
        <v>7</v>
      </c>
    </row>
    <row r="132" spans="1:11" hidden="1">
      <c r="A132" s="117"/>
      <c r="B132" s="672"/>
      <c r="C132" s="673"/>
      <c r="D132" s="118"/>
      <c r="E132" s="118"/>
      <c r="F132" s="118"/>
      <c r="G132" s="118"/>
      <c r="H132" s="118"/>
    </row>
    <row r="133" spans="1:11" hidden="1">
      <c r="A133" s="117"/>
      <c r="B133" s="672"/>
      <c r="C133" s="673"/>
      <c r="D133" s="118"/>
      <c r="E133" s="118"/>
      <c r="F133" s="118"/>
      <c r="G133" s="118"/>
      <c r="H133" s="118"/>
    </row>
    <row r="134" spans="1:11" hidden="1">
      <c r="A134" s="117"/>
      <c r="B134" s="672"/>
      <c r="C134" s="673"/>
      <c r="D134" s="118"/>
      <c r="E134" s="118"/>
      <c r="F134" s="118"/>
      <c r="G134" s="118"/>
      <c r="H134" s="118"/>
    </row>
    <row r="135" spans="1:11" hidden="1">
      <c r="A135" s="117"/>
      <c r="B135" s="672"/>
      <c r="C135" s="673"/>
      <c r="D135" s="118"/>
      <c r="E135" s="118"/>
      <c r="F135" s="118"/>
      <c r="G135" s="118"/>
      <c r="H135" s="118"/>
    </row>
    <row r="136" spans="1:11" hidden="1">
      <c r="A136" s="117"/>
      <c r="B136" s="672"/>
      <c r="C136" s="673"/>
      <c r="D136" s="118"/>
      <c r="E136" s="118"/>
      <c r="F136" s="118"/>
      <c r="G136" s="118"/>
      <c r="H136" s="118"/>
    </row>
    <row r="137" spans="1:11" hidden="1">
      <c r="A137" s="117"/>
      <c r="B137" s="672"/>
      <c r="C137" s="673"/>
      <c r="D137" s="118"/>
      <c r="E137" s="118"/>
      <c r="F137" s="118"/>
      <c r="G137" s="118"/>
      <c r="H137" s="118"/>
    </row>
    <row r="138" spans="1:11" s="156" customFormat="1" hidden="1">
      <c r="A138" s="154"/>
      <c r="B138" s="681" t="s">
        <v>215</v>
      </c>
      <c r="C138" s="682"/>
      <c r="D138" s="155"/>
      <c r="E138" s="155"/>
      <c r="F138" s="155">
        <f>SUM(F132:F137)</f>
        <v>0</v>
      </c>
      <c r="G138" s="155">
        <f t="shared" ref="G138:H138" si="15">SUM(G132:G137)</f>
        <v>0</v>
      </c>
      <c r="H138" s="155">
        <f t="shared" si="15"/>
        <v>0</v>
      </c>
      <c r="I138" s="159"/>
      <c r="J138" s="159"/>
      <c r="K138" s="159"/>
    </row>
    <row r="139" spans="1:11" hidden="1"/>
    <row r="140" spans="1:11" s="66" customFormat="1" ht="14.25" hidden="1">
      <c r="A140" s="66" t="s">
        <v>258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1:11" hidden="1"/>
    <row r="142" spans="1:11" ht="24.75" hidden="1">
      <c r="A142" s="119" t="s">
        <v>217</v>
      </c>
      <c r="B142" s="670" t="s">
        <v>0</v>
      </c>
      <c r="C142" s="671"/>
      <c r="D142" s="113" t="s">
        <v>259</v>
      </c>
      <c r="E142" s="113" t="s">
        <v>260</v>
      </c>
      <c r="F142" s="113" t="s">
        <v>299</v>
      </c>
      <c r="G142" s="113" t="s">
        <v>300</v>
      </c>
      <c r="H142" s="113" t="s">
        <v>301</v>
      </c>
    </row>
    <row r="143" spans="1:11" hidden="1">
      <c r="A143" s="115">
        <v>1</v>
      </c>
      <c r="B143" s="672">
        <v>2</v>
      </c>
      <c r="C143" s="673"/>
      <c r="D143" s="115">
        <v>3</v>
      </c>
      <c r="E143" s="115">
        <v>4</v>
      </c>
      <c r="F143" s="115">
        <v>5</v>
      </c>
      <c r="G143" s="115">
        <v>6</v>
      </c>
      <c r="H143" s="115">
        <v>7</v>
      </c>
    </row>
    <row r="144" spans="1:11" hidden="1">
      <c r="A144" s="117">
        <v>1</v>
      </c>
      <c r="B144" s="672" t="s">
        <v>355</v>
      </c>
      <c r="C144" s="673"/>
      <c r="D144" s="118"/>
      <c r="E144" s="118"/>
      <c r="F144" s="118">
        <f>E144*D144</f>
        <v>0</v>
      </c>
      <c r="G144" s="118"/>
      <c r="H144" s="118"/>
    </row>
    <row r="145" spans="1:8" hidden="1">
      <c r="A145" s="117"/>
      <c r="B145" s="672" t="s">
        <v>356</v>
      </c>
      <c r="C145" s="673"/>
      <c r="D145" s="118"/>
      <c r="E145" s="118"/>
      <c r="F145" s="118">
        <f t="shared" ref="F145:F161" si="16">E145*D145</f>
        <v>0</v>
      </c>
      <c r="G145" s="118"/>
      <c r="H145" s="118"/>
    </row>
    <row r="146" spans="1:8" hidden="1">
      <c r="A146" s="117"/>
      <c r="B146" s="294"/>
      <c r="C146" s="295"/>
      <c r="D146" s="118"/>
      <c r="E146" s="118"/>
      <c r="F146" s="118">
        <f t="shared" si="16"/>
        <v>0</v>
      </c>
      <c r="G146" s="118"/>
      <c r="H146" s="118"/>
    </row>
    <row r="147" spans="1:8" hidden="1">
      <c r="A147" s="117"/>
      <c r="B147" s="294"/>
      <c r="C147" s="295"/>
      <c r="D147" s="118"/>
      <c r="E147" s="118"/>
      <c r="F147" s="118">
        <f t="shared" si="16"/>
        <v>0</v>
      </c>
      <c r="G147" s="118"/>
      <c r="H147" s="118"/>
    </row>
    <row r="148" spans="1:8" hidden="1">
      <c r="A148" s="117"/>
      <c r="B148" s="294"/>
      <c r="C148" s="295"/>
      <c r="D148" s="118"/>
      <c r="E148" s="118"/>
      <c r="F148" s="118">
        <f t="shared" si="16"/>
        <v>0</v>
      </c>
      <c r="G148" s="118"/>
      <c r="H148" s="118"/>
    </row>
    <row r="149" spans="1:8" hidden="1">
      <c r="A149" s="117"/>
      <c r="B149" s="294"/>
      <c r="C149" s="295"/>
      <c r="D149" s="118"/>
      <c r="E149" s="118"/>
      <c r="F149" s="118">
        <f t="shared" si="16"/>
        <v>0</v>
      </c>
      <c r="G149" s="118"/>
      <c r="H149" s="118"/>
    </row>
    <row r="150" spans="1:8" hidden="1">
      <c r="A150" s="117"/>
      <c r="B150" s="294"/>
      <c r="C150" s="295"/>
      <c r="D150" s="118"/>
      <c r="E150" s="118"/>
      <c r="F150" s="118">
        <f t="shared" si="16"/>
        <v>0</v>
      </c>
      <c r="G150" s="118"/>
      <c r="H150" s="118"/>
    </row>
    <row r="151" spans="1:8" hidden="1">
      <c r="A151" s="117"/>
      <c r="B151" s="294"/>
      <c r="C151" s="295"/>
      <c r="D151" s="118"/>
      <c r="E151" s="118"/>
      <c r="F151" s="118">
        <f t="shared" si="16"/>
        <v>0</v>
      </c>
      <c r="G151" s="118"/>
      <c r="H151" s="118"/>
    </row>
    <row r="152" spans="1:8" hidden="1">
      <c r="A152" s="117"/>
      <c r="B152" s="294"/>
      <c r="C152" s="295"/>
      <c r="D152" s="118"/>
      <c r="E152" s="118"/>
      <c r="F152" s="118">
        <f t="shared" si="16"/>
        <v>0</v>
      </c>
      <c r="G152" s="118"/>
      <c r="H152" s="118"/>
    </row>
    <row r="153" spans="1:8" hidden="1">
      <c r="A153" s="117"/>
      <c r="B153" s="294"/>
      <c r="C153" s="295"/>
      <c r="D153" s="118"/>
      <c r="E153" s="118"/>
      <c r="F153" s="118">
        <f t="shared" si="16"/>
        <v>0</v>
      </c>
      <c r="G153" s="118"/>
      <c r="H153" s="118"/>
    </row>
    <row r="154" spans="1:8" hidden="1">
      <c r="A154" s="117"/>
      <c r="B154" s="294"/>
      <c r="C154" s="295"/>
      <c r="D154" s="118"/>
      <c r="E154" s="118"/>
      <c r="F154" s="118">
        <f t="shared" si="16"/>
        <v>0</v>
      </c>
      <c r="G154" s="118"/>
      <c r="H154" s="118"/>
    </row>
    <row r="155" spans="1:8" hidden="1">
      <c r="A155" s="117"/>
      <c r="B155" s="294"/>
      <c r="C155" s="295"/>
      <c r="D155" s="118"/>
      <c r="E155" s="118"/>
      <c r="F155" s="118">
        <f t="shared" si="16"/>
        <v>0</v>
      </c>
      <c r="G155" s="118"/>
      <c r="H155" s="118"/>
    </row>
    <row r="156" spans="1:8" hidden="1">
      <c r="A156" s="117"/>
      <c r="B156" s="294"/>
      <c r="C156" s="295"/>
      <c r="D156" s="118"/>
      <c r="E156" s="118"/>
      <c r="F156" s="118">
        <f t="shared" si="16"/>
        <v>0</v>
      </c>
      <c r="G156" s="118"/>
      <c r="H156" s="118"/>
    </row>
    <row r="157" spans="1:8" hidden="1">
      <c r="A157" s="117"/>
      <c r="B157" s="294"/>
      <c r="C157" s="295"/>
      <c r="D157" s="118"/>
      <c r="E157" s="118"/>
      <c r="F157" s="118">
        <f t="shared" si="16"/>
        <v>0</v>
      </c>
      <c r="G157" s="118"/>
      <c r="H157" s="118"/>
    </row>
    <row r="158" spans="1:8" hidden="1">
      <c r="A158" s="117"/>
      <c r="B158" s="672"/>
      <c r="C158" s="673"/>
      <c r="D158" s="118"/>
      <c r="E158" s="118"/>
      <c r="F158" s="118">
        <f t="shared" si="16"/>
        <v>0</v>
      </c>
      <c r="G158" s="118"/>
      <c r="H158" s="118"/>
    </row>
    <row r="159" spans="1:8" hidden="1">
      <c r="A159" s="117"/>
      <c r="B159" s="672"/>
      <c r="C159" s="673"/>
      <c r="D159" s="118"/>
      <c r="E159" s="118"/>
      <c r="F159" s="118">
        <f t="shared" si="16"/>
        <v>0</v>
      </c>
      <c r="G159" s="118"/>
      <c r="H159" s="118"/>
    </row>
    <row r="160" spans="1:8" hidden="1">
      <c r="A160" s="117"/>
      <c r="B160" s="672"/>
      <c r="C160" s="673"/>
      <c r="D160" s="118"/>
      <c r="E160" s="118"/>
      <c r="F160" s="118">
        <f t="shared" si="16"/>
        <v>0</v>
      </c>
      <c r="G160" s="118"/>
      <c r="H160" s="118"/>
    </row>
    <row r="161" spans="1:11" hidden="1">
      <c r="A161" s="117"/>
      <c r="B161" s="672"/>
      <c r="C161" s="673"/>
      <c r="D161" s="118"/>
      <c r="E161" s="118"/>
      <c r="F161" s="118">
        <f t="shared" si="16"/>
        <v>0</v>
      </c>
      <c r="G161" s="118"/>
      <c r="H161" s="118"/>
    </row>
    <row r="162" spans="1:11" s="156" customFormat="1" hidden="1">
      <c r="A162" s="154"/>
      <c r="B162" s="681" t="s">
        <v>215</v>
      </c>
      <c r="C162" s="682"/>
      <c r="D162" s="155"/>
      <c r="E162" s="155"/>
      <c r="F162" s="155">
        <f>SUM(F144:F161)</f>
        <v>0</v>
      </c>
      <c r="G162" s="155">
        <f t="shared" ref="G162:H162" si="17">SUM(G144:G161)</f>
        <v>0</v>
      </c>
      <c r="H162" s="155">
        <f t="shared" si="17"/>
        <v>0</v>
      </c>
      <c r="I162" s="159"/>
      <c r="J162" s="159"/>
      <c r="K162" s="159"/>
    </row>
    <row r="163" spans="1:11" hidden="1"/>
    <row r="164" spans="1:11" s="66" customFormat="1" ht="14.25" hidden="1">
      <c r="A164" s="66" t="s">
        <v>261</v>
      </c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</row>
    <row r="165" spans="1:11" hidden="1"/>
    <row r="166" spans="1:11" ht="24.75" hidden="1">
      <c r="A166" s="119" t="s">
        <v>217</v>
      </c>
      <c r="B166" s="670" t="s">
        <v>236</v>
      </c>
      <c r="C166" s="671"/>
      <c r="D166" s="113" t="s">
        <v>259</v>
      </c>
      <c r="E166" s="113" t="s">
        <v>260</v>
      </c>
      <c r="F166" s="113" t="s">
        <v>299</v>
      </c>
      <c r="G166" s="113" t="s">
        <v>300</v>
      </c>
      <c r="H166" s="113" t="s">
        <v>301</v>
      </c>
    </row>
    <row r="167" spans="1:11" hidden="1">
      <c r="A167" s="115">
        <v>1</v>
      </c>
      <c r="B167" s="672">
        <v>2</v>
      </c>
      <c r="C167" s="673"/>
      <c r="D167" s="115">
        <v>3</v>
      </c>
      <c r="E167" s="115">
        <v>4</v>
      </c>
      <c r="F167" s="115">
        <v>5</v>
      </c>
      <c r="G167" s="115">
        <v>6</v>
      </c>
      <c r="H167" s="115">
        <v>7</v>
      </c>
    </row>
    <row r="168" spans="1:11" hidden="1">
      <c r="A168" s="117">
        <v>1</v>
      </c>
      <c r="B168" s="672" t="s">
        <v>357</v>
      </c>
      <c r="C168" s="673"/>
      <c r="D168" s="118"/>
      <c r="E168" s="118"/>
      <c r="F168" s="118">
        <f>E168*D168</f>
        <v>0</v>
      </c>
      <c r="G168" s="118"/>
      <c r="H168" s="118"/>
    </row>
    <row r="169" spans="1:11" hidden="1">
      <c r="A169" s="117"/>
      <c r="B169" s="672" t="s">
        <v>358</v>
      </c>
      <c r="C169" s="673"/>
      <c r="D169" s="118"/>
      <c r="E169" s="118"/>
      <c r="F169" s="118">
        <f t="shared" ref="F169:F187" si="18">E169*D169</f>
        <v>0</v>
      </c>
      <c r="G169" s="118"/>
      <c r="H169" s="118"/>
    </row>
    <row r="170" spans="1:11" hidden="1">
      <c r="A170" s="117"/>
      <c r="B170" s="672" t="s">
        <v>359</v>
      </c>
      <c r="C170" s="673"/>
      <c r="D170" s="118"/>
      <c r="E170" s="118"/>
      <c r="F170" s="118">
        <f t="shared" si="18"/>
        <v>0</v>
      </c>
      <c r="G170" s="118"/>
      <c r="H170" s="118"/>
    </row>
    <row r="171" spans="1:11" hidden="1">
      <c r="A171" s="117"/>
      <c r="B171" s="294"/>
      <c r="C171" s="295"/>
      <c r="D171" s="118"/>
      <c r="E171" s="118"/>
      <c r="F171" s="118">
        <f t="shared" si="18"/>
        <v>0</v>
      </c>
      <c r="G171" s="118"/>
      <c r="H171" s="118"/>
    </row>
    <row r="172" spans="1:11" hidden="1">
      <c r="A172" s="117"/>
      <c r="B172" s="294"/>
      <c r="C172" s="295"/>
      <c r="D172" s="118"/>
      <c r="E172" s="118"/>
      <c r="F172" s="118">
        <f t="shared" si="18"/>
        <v>0</v>
      </c>
      <c r="G172" s="118"/>
      <c r="H172" s="118"/>
    </row>
    <row r="173" spans="1:11" hidden="1">
      <c r="A173" s="117"/>
      <c r="B173" s="294"/>
      <c r="C173" s="295"/>
      <c r="D173" s="118"/>
      <c r="E173" s="118"/>
      <c r="F173" s="118">
        <f t="shared" si="18"/>
        <v>0</v>
      </c>
      <c r="G173" s="118"/>
      <c r="H173" s="118"/>
    </row>
    <row r="174" spans="1:11" hidden="1">
      <c r="A174" s="117"/>
      <c r="B174" s="294"/>
      <c r="C174" s="295"/>
      <c r="D174" s="118"/>
      <c r="E174" s="118"/>
      <c r="F174" s="118">
        <f t="shared" si="18"/>
        <v>0</v>
      </c>
      <c r="G174" s="118"/>
      <c r="H174" s="118"/>
    </row>
    <row r="175" spans="1:11" hidden="1">
      <c r="A175" s="117"/>
      <c r="B175" s="294"/>
      <c r="C175" s="295"/>
      <c r="D175" s="118"/>
      <c r="E175" s="118"/>
      <c r="F175" s="118">
        <f t="shared" si="18"/>
        <v>0</v>
      </c>
      <c r="G175" s="118"/>
      <c r="H175" s="118"/>
    </row>
    <row r="176" spans="1:11" hidden="1">
      <c r="A176" s="117"/>
      <c r="B176" s="294"/>
      <c r="C176" s="295"/>
      <c r="D176" s="118"/>
      <c r="E176" s="118"/>
      <c r="F176" s="118">
        <f t="shared" si="18"/>
        <v>0</v>
      </c>
      <c r="G176" s="118"/>
      <c r="H176" s="118"/>
    </row>
    <row r="177" spans="1:11" hidden="1">
      <c r="A177" s="117"/>
      <c r="B177" s="294"/>
      <c r="C177" s="295"/>
      <c r="D177" s="118"/>
      <c r="E177" s="118"/>
      <c r="F177" s="118">
        <f t="shared" si="18"/>
        <v>0</v>
      </c>
      <c r="G177" s="118"/>
      <c r="H177" s="118"/>
    </row>
    <row r="178" spans="1:11" hidden="1">
      <c r="A178" s="117"/>
      <c r="B178" s="294"/>
      <c r="C178" s="295"/>
      <c r="D178" s="118"/>
      <c r="E178" s="118"/>
      <c r="F178" s="118">
        <f t="shared" si="18"/>
        <v>0</v>
      </c>
      <c r="G178" s="118"/>
      <c r="H178" s="118"/>
    </row>
    <row r="179" spans="1:11" hidden="1">
      <c r="A179" s="117"/>
      <c r="B179" s="294"/>
      <c r="C179" s="295"/>
      <c r="D179" s="118"/>
      <c r="E179" s="118"/>
      <c r="F179" s="118">
        <f t="shared" si="18"/>
        <v>0</v>
      </c>
      <c r="G179" s="118"/>
      <c r="H179" s="118"/>
    </row>
    <row r="180" spans="1:11" hidden="1">
      <c r="A180" s="117"/>
      <c r="B180" s="294"/>
      <c r="C180" s="295"/>
      <c r="D180" s="118"/>
      <c r="E180" s="118"/>
      <c r="F180" s="118">
        <f t="shared" si="18"/>
        <v>0</v>
      </c>
      <c r="G180" s="118"/>
      <c r="H180" s="118"/>
    </row>
    <row r="181" spans="1:11" hidden="1">
      <c r="A181" s="117"/>
      <c r="B181" s="294"/>
      <c r="C181" s="295"/>
      <c r="D181" s="118"/>
      <c r="E181" s="118"/>
      <c r="F181" s="118">
        <f t="shared" si="18"/>
        <v>0</v>
      </c>
      <c r="G181" s="118"/>
      <c r="H181" s="118"/>
    </row>
    <row r="182" spans="1:11" hidden="1">
      <c r="A182" s="117"/>
      <c r="B182" s="294"/>
      <c r="C182" s="295"/>
      <c r="D182" s="118"/>
      <c r="E182" s="118"/>
      <c r="F182" s="118">
        <f t="shared" si="18"/>
        <v>0</v>
      </c>
      <c r="G182" s="118"/>
      <c r="H182" s="118"/>
    </row>
    <row r="183" spans="1:11" hidden="1">
      <c r="A183" s="117"/>
      <c r="B183" s="294"/>
      <c r="C183" s="295"/>
      <c r="D183" s="118"/>
      <c r="E183" s="118"/>
      <c r="F183" s="118">
        <f t="shared" si="18"/>
        <v>0</v>
      </c>
      <c r="G183" s="118"/>
      <c r="H183" s="118"/>
    </row>
    <row r="184" spans="1:11" hidden="1">
      <c r="A184" s="117"/>
      <c r="B184" s="294"/>
      <c r="C184" s="295"/>
      <c r="D184" s="118"/>
      <c r="E184" s="118"/>
      <c r="F184" s="118">
        <f t="shared" si="18"/>
        <v>0</v>
      </c>
      <c r="G184" s="118"/>
      <c r="H184" s="118"/>
    </row>
    <row r="185" spans="1:11" hidden="1">
      <c r="A185" s="117"/>
      <c r="B185" s="672"/>
      <c r="C185" s="673"/>
      <c r="D185" s="118"/>
      <c r="E185" s="118"/>
      <c r="F185" s="118">
        <f t="shared" si="18"/>
        <v>0</v>
      </c>
      <c r="G185" s="118"/>
      <c r="H185" s="118"/>
    </row>
    <row r="186" spans="1:11" hidden="1">
      <c r="A186" s="117"/>
      <c r="B186" s="672"/>
      <c r="C186" s="673"/>
      <c r="D186" s="118"/>
      <c r="E186" s="118"/>
      <c r="F186" s="118">
        <f t="shared" si="18"/>
        <v>0</v>
      </c>
      <c r="G186" s="118"/>
      <c r="H186" s="118"/>
    </row>
    <row r="187" spans="1:11" hidden="1">
      <c r="A187" s="117"/>
      <c r="B187" s="672"/>
      <c r="C187" s="673"/>
      <c r="D187" s="118"/>
      <c r="E187" s="118"/>
      <c r="F187" s="118">
        <f t="shared" si="18"/>
        <v>0</v>
      </c>
      <c r="G187" s="118"/>
      <c r="H187" s="118"/>
    </row>
    <row r="188" spans="1:11" s="156" customFormat="1" hidden="1">
      <c r="A188" s="154"/>
      <c r="B188" s="681" t="s">
        <v>215</v>
      </c>
      <c r="C188" s="682"/>
      <c r="D188" s="155"/>
      <c r="E188" s="155"/>
      <c r="F188" s="155">
        <f>SUM(F168:F187)</f>
        <v>0</v>
      </c>
      <c r="G188" s="155">
        <f t="shared" ref="G188:H188" si="19">SUM(G168:G187)</f>
        <v>0</v>
      </c>
      <c r="H188" s="155">
        <f t="shared" si="19"/>
        <v>0</v>
      </c>
      <c r="I188" s="159"/>
      <c r="J188" s="159"/>
      <c r="K188" s="159"/>
    </row>
    <row r="189" spans="1:11" hidden="1"/>
    <row r="190" spans="1:11" s="66" customFormat="1" ht="14.25" hidden="1">
      <c r="A190" s="66" t="s">
        <v>262</v>
      </c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</row>
    <row r="191" spans="1:11" hidden="1"/>
    <row r="192" spans="1:11" ht="24.75" hidden="1">
      <c r="A192" s="119" t="s">
        <v>217</v>
      </c>
      <c r="B192" s="670" t="s">
        <v>236</v>
      </c>
      <c r="C192" s="671"/>
      <c r="D192" s="113" t="s">
        <v>255</v>
      </c>
      <c r="E192" s="113" t="s">
        <v>260</v>
      </c>
      <c r="F192" s="113" t="s">
        <v>299</v>
      </c>
      <c r="G192" s="113" t="s">
        <v>300</v>
      </c>
      <c r="H192" s="113" t="s">
        <v>301</v>
      </c>
    </row>
    <row r="193" spans="1:8" hidden="1">
      <c r="A193" s="115">
        <v>1</v>
      </c>
      <c r="B193" s="672">
        <v>2</v>
      </c>
      <c r="C193" s="673"/>
      <c r="D193" s="115">
        <v>3</v>
      </c>
      <c r="E193" s="115">
        <v>4</v>
      </c>
      <c r="F193" s="115">
        <v>5</v>
      </c>
      <c r="G193" s="115">
        <v>6</v>
      </c>
      <c r="H193" s="115">
        <v>7</v>
      </c>
    </row>
    <row r="194" spans="1:8" hidden="1">
      <c r="A194" s="117">
        <v>1</v>
      </c>
      <c r="B194" s="672" t="s">
        <v>360</v>
      </c>
      <c r="C194" s="673"/>
      <c r="D194" s="118"/>
      <c r="E194" s="118"/>
      <c r="F194" s="118">
        <f>D194*E194</f>
        <v>0</v>
      </c>
      <c r="G194" s="118"/>
      <c r="H194" s="118"/>
    </row>
    <row r="195" spans="1:8" hidden="1">
      <c r="A195" s="121"/>
      <c r="B195" s="684" t="s">
        <v>361</v>
      </c>
      <c r="C195" s="685"/>
      <c r="D195" s="118"/>
      <c r="E195" s="118"/>
      <c r="F195" s="118">
        <f t="shared" ref="F195:F215" si="20">D195*E195</f>
        <v>0</v>
      </c>
      <c r="G195" s="118"/>
      <c r="H195" s="118"/>
    </row>
    <row r="196" spans="1:8" hidden="1">
      <c r="A196" s="121"/>
      <c r="B196" s="294"/>
      <c r="C196" s="295"/>
      <c r="D196" s="118"/>
      <c r="E196" s="118"/>
      <c r="F196" s="118">
        <f t="shared" si="20"/>
        <v>0</v>
      </c>
      <c r="G196" s="118"/>
      <c r="H196" s="118"/>
    </row>
    <row r="197" spans="1:8" hidden="1">
      <c r="A197" s="121"/>
      <c r="B197" s="294"/>
      <c r="C197" s="295"/>
      <c r="D197" s="118"/>
      <c r="E197" s="118"/>
      <c r="F197" s="118">
        <f t="shared" si="20"/>
        <v>0</v>
      </c>
      <c r="G197" s="118"/>
      <c r="H197" s="118"/>
    </row>
    <row r="198" spans="1:8" hidden="1">
      <c r="A198" s="121"/>
      <c r="B198" s="294"/>
      <c r="C198" s="295"/>
      <c r="D198" s="118"/>
      <c r="E198" s="118"/>
      <c r="F198" s="118">
        <f t="shared" si="20"/>
        <v>0</v>
      </c>
      <c r="G198" s="118"/>
      <c r="H198" s="118"/>
    </row>
    <row r="199" spans="1:8" hidden="1">
      <c r="A199" s="121"/>
      <c r="B199" s="294"/>
      <c r="C199" s="295"/>
      <c r="D199" s="118"/>
      <c r="E199" s="118"/>
      <c r="F199" s="118">
        <f t="shared" si="20"/>
        <v>0</v>
      </c>
      <c r="G199" s="118"/>
      <c r="H199" s="118"/>
    </row>
    <row r="200" spans="1:8" hidden="1">
      <c r="A200" s="121"/>
      <c r="B200" s="294"/>
      <c r="C200" s="295"/>
      <c r="D200" s="118"/>
      <c r="E200" s="118"/>
      <c r="F200" s="118">
        <f t="shared" si="20"/>
        <v>0</v>
      </c>
      <c r="G200" s="118"/>
      <c r="H200" s="118"/>
    </row>
    <row r="201" spans="1:8" hidden="1">
      <c r="A201" s="121"/>
      <c r="B201" s="294"/>
      <c r="C201" s="295"/>
      <c r="D201" s="118"/>
      <c r="E201" s="118"/>
      <c r="F201" s="118">
        <f t="shared" si="20"/>
        <v>0</v>
      </c>
      <c r="G201" s="118"/>
      <c r="H201" s="118"/>
    </row>
    <row r="202" spans="1:8" hidden="1">
      <c r="A202" s="121"/>
      <c r="B202" s="294"/>
      <c r="C202" s="295"/>
      <c r="D202" s="118"/>
      <c r="E202" s="118"/>
      <c r="F202" s="118">
        <f t="shared" si="20"/>
        <v>0</v>
      </c>
      <c r="G202" s="118"/>
      <c r="H202" s="118"/>
    </row>
    <row r="203" spans="1:8" hidden="1">
      <c r="A203" s="121"/>
      <c r="B203" s="294"/>
      <c r="C203" s="295"/>
      <c r="D203" s="118"/>
      <c r="E203" s="118"/>
      <c r="F203" s="118">
        <f t="shared" si="20"/>
        <v>0</v>
      </c>
      <c r="G203" s="118"/>
      <c r="H203" s="118"/>
    </row>
    <row r="204" spans="1:8" hidden="1">
      <c r="A204" s="121"/>
      <c r="B204" s="294"/>
      <c r="C204" s="295"/>
      <c r="D204" s="118"/>
      <c r="E204" s="118"/>
      <c r="F204" s="118">
        <f t="shared" si="20"/>
        <v>0</v>
      </c>
      <c r="G204" s="118"/>
      <c r="H204" s="118"/>
    </row>
    <row r="205" spans="1:8" hidden="1">
      <c r="A205" s="121"/>
      <c r="B205" s="294"/>
      <c r="C205" s="295"/>
      <c r="D205" s="118"/>
      <c r="E205" s="118"/>
      <c r="F205" s="118">
        <f t="shared" si="20"/>
        <v>0</v>
      </c>
      <c r="G205" s="118"/>
      <c r="H205" s="118"/>
    </row>
    <row r="206" spans="1:8" ht="15.75" hidden="1" thickBot="1">
      <c r="A206" s="121"/>
      <c r="B206" s="294"/>
      <c r="C206" s="295"/>
      <c r="D206" s="118"/>
      <c r="E206" s="118"/>
      <c r="F206" s="118">
        <f t="shared" si="20"/>
        <v>0</v>
      </c>
      <c r="G206" s="118"/>
      <c r="H206" s="118"/>
    </row>
    <row r="207" spans="1:8" ht="15.75" hidden="1" thickBot="1">
      <c r="A207" s="121"/>
      <c r="B207" s="294"/>
      <c r="C207" s="295"/>
      <c r="D207" s="118"/>
      <c r="E207" s="118"/>
      <c r="F207" s="118">
        <f t="shared" si="20"/>
        <v>0</v>
      </c>
      <c r="G207" s="118"/>
      <c r="H207" s="118"/>
    </row>
    <row r="208" spans="1:8" ht="15.75" hidden="1" thickBot="1">
      <c r="A208" s="121"/>
      <c r="B208" s="294"/>
      <c r="C208" s="295"/>
      <c r="D208" s="118"/>
      <c r="E208" s="118"/>
      <c r="F208" s="118">
        <f t="shared" si="20"/>
        <v>0</v>
      </c>
      <c r="G208" s="118"/>
      <c r="H208" s="118"/>
    </row>
    <row r="209" spans="1:21" ht="15.75" hidden="1" thickBot="1">
      <c r="A209" s="121"/>
      <c r="B209" s="294"/>
      <c r="C209" s="295"/>
      <c r="D209" s="118"/>
      <c r="E209" s="118"/>
      <c r="F209" s="118">
        <f t="shared" si="20"/>
        <v>0</v>
      </c>
      <c r="G209" s="118"/>
      <c r="H209" s="118"/>
    </row>
    <row r="210" spans="1:21" ht="15.75" hidden="1" thickBot="1">
      <c r="A210" s="121"/>
      <c r="B210" s="294"/>
      <c r="C210" s="295"/>
      <c r="D210" s="118"/>
      <c r="E210" s="118"/>
      <c r="F210" s="118">
        <f t="shared" si="20"/>
        <v>0</v>
      </c>
      <c r="G210" s="118"/>
      <c r="H210" s="118"/>
    </row>
    <row r="211" spans="1:21" ht="15.75" hidden="1" thickBot="1">
      <c r="A211" s="121"/>
      <c r="B211" s="294"/>
      <c r="C211" s="295"/>
      <c r="D211" s="118"/>
      <c r="E211" s="118"/>
      <c r="F211" s="118">
        <f t="shared" si="20"/>
        <v>0</v>
      </c>
      <c r="G211" s="118"/>
      <c r="H211" s="118"/>
    </row>
    <row r="212" spans="1:21" ht="15.75" hidden="1" thickBot="1">
      <c r="A212" s="117"/>
      <c r="B212" s="672"/>
      <c r="C212" s="673"/>
      <c r="D212" s="118"/>
      <c r="E212" s="118"/>
      <c r="F212" s="118">
        <f t="shared" si="20"/>
        <v>0</v>
      </c>
      <c r="G212" s="118"/>
      <c r="H212" s="118"/>
    </row>
    <row r="213" spans="1:21" ht="15.75" hidden="1" thickBot="1">
      <c r="A213" s="117"/>
      <c r="B213" s="672"/>
      <c r="C213" s="673"/>
      <c r="D213" s="118"/>
      <c r="E213" s="118"/>
      <c r="F213" s="118">
        <f t="shared" si="20"/>
        <v>0</v>
      </c>
      <c r="G213" s="118"/>
      <c r="H213" s="118"/>
    </row>
    <row r="214" spans="1:21" ht="15.75" hidden="1" thickBot="1">
      <c r="A214" s="117"/>
      <c r="B214" s="672"/>
      <c r="C214" s="673"/>
      <c r="D214" s="118"/>
      <c r="E214" s="118"/>
      <c r="F214" s="118">
        <f t="shared" si="20"/>
        <v>0</v>
      </c>
      <c r="G214" s="118"/>
      <c r="H214" s="118"/>
    </row>
    <row r="215" spans="1:21" ht="15.75" hidden="1" thickBot="1">
      <c r="A215" s="117"/>
      <c r="B215" s="672"/>
      <c r="C215" s="673"/>
      <c r="D215" s="118"/>
      <c r="E215" s="118"/>
      <c r="F215" s="118">
        <f t="shared" si="20"/>
        <v>0</v>
      </c>
      <c r="G215" s="118"/>
      <c r="H215" s="118"/>
    </row>
    <row r="216" spans="1:21" s="156" customFormat="1" ht="15.75" hidden="1" thickBot="1">
      <c r="A216" s="154"/>
      <c r="B216" s="681" t="s">
        <v>215</v>
      </c>
      <c r="C216" s="682"/>
      <c r="D216" s="155"/>
      <c r="E216" s="155"/>
      <c r="F216" s="155">
        <f>SUM(F194:F215)</f>
        <v>0</v>
      </c>
      <c r="G216" s="155">
        <f t="shared" ref="G216:H216" si="21">SUM(G194:G215)</f>
        <v>0</v>
      </c>
      <c r="H216" s="155">
        <f t="shared" si="21"/>
        <v>0</v>
      </c>
      <c r="I216" s="159"/>
      <c r="J216" s="159"/>
      <c r="K216" s="159"/>
    </row>
    <row r="217" spans="1:21" ht="15.75" hidden="1" thickBot="1"/>
    <row r="218" spans="1:21" ht="15.75" thickBot="1">
      <c r="A218" s="122"/>
      <c r="B218" s="694" t="s">
        <v>263</v>
      </c>
      <c r="C218" s="695"/>
      <c r="D218" s="695"/>
      <c r="E218" s="696"/>
      <c r="F218" s="161">
        <f>F216+F188+F162+F138+G126+F114+G102+F89+F77+F65+F40+I28</f>
        <v>105000</v>
      </c>
      <c r="G218" s="161">
        <f t="shared" ref="G218:H218" si="22">G216+G188+G162+G138+H126+G114+H102+G89+G77+G65+G40+J28</f>
        <v>105000</v>
      </c>
      <c r="H218" s="161">
        <f t="shared" si="22"/>
        <v>105000</v>
      </c>
    </row>
    <row r="221" spans="1:21" s="335" customFormat="1" ht="20.25" customHeight="1">
      <c r="A221" s="697" t="s">
        <v>179</v>
      </c>
      <c r="B221" s="697"/>
      <c r="C221" s="697"/>
      <c r="D221" s="328" t="s">
        <v>401</v>
      </c>
      <c r="E221" s="123"/>
      <c r="F221" s="328"/>
      <c r="G221" s="123"/>
      <c r="H221" s="328" t="s">
        <v>505</v>
      </c>
      <c r="I221" s="328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4"/>
    </row>
    <row r="222" spans="1:21" s="335" customFormat="1" ht="20.25" customHeight="1">
      <c r="A222" s="697" t="s">
        <v>180</v>
      </c>
      <c r="B222" s="697"/>
      <c r="C222" s="697"/>
      <c r="D222" s="125" t="s">
        <v>264</v>
      </c>
      <c r="E222" s="126"/>
      <c r="F222" s="125" t="s">
        <v>265</v>
      </c>
      <c r="G222" s="126"/>
      <c r="H222" s="337" t="s">
        <v>266</v>
      </c>
      <c r="I222" s="337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4"/>
    </row>
    <row r="223" spans="1:21" s="335" customFormat="1">
      <c r="A223" s="336"/>
    </row>
    <row r="224" spans="1:21" s="335" customFormat="1" ht="30" customHeight="1">
      <c r="A224" s="698" t="s">
        <v>182</v>
      </c>
      <c r="B224" s="698"/>
      <c r="C224"/>
      <c r="D224" s="328" t="s">
        <v>515</v>
      </c>
      <c r="E224"/>
      <c r="F224" s="328"/>
      <c r="G224"/>
      <c r="H224" s="328" t="s">
        <v>519</v>
      </c>
      <c r="I224" s="328"/>
      <c r="J224" s="658" t="s">
        <v>488</v>
      </c>
      <c r="K224" s="658"/>
    </row>
    <row r="225" spans="1:11" s="335" customFormat="1">
      <c r="C225"/>
      <c r="D225" s="125" t="s">
        <v>267</v>
      </c>
      <c r="E225"/>
      <c r="F225" s="125" t="s">
        <v>265</v>
      </c>
      <c r="G225"/>
      <c r="H225" s="337" t="s">
        <v>266</v>
      </c>
      <c r="I225" s="337"/>
      <c r="J225" s="646" t="s">
        <v>183</v>
      </c>
      <c r="K225" s="646"/>
    </row>
    <row r="226" spans="1:11" s="335" customFormat="1">
      <c r="G226"/>
      <c r="H226"/>
      <c r="I226"/>
      <c r="J226"/>
    </row>
    <row r="227" spans="1:11" s="335" customFormat="1">
      <c r="A227" s="698" t="s">
        <v>489</v>
      </c>
      <c r="B227" s="698"/>
      <c r="C227" s="698"/>
      <c r="D227" s="698"/>
      <c r="E227" s="698"/>
    </row>
  </sheetData>
  <mergeCells count="120">
    <mergeCell ref="J224:K224"/>
    <mergeCell ref="J225:K225"/>
    <mergeCell ref="A227:E227"/>
    <mergeCell ref="A1:K1"/>
    <mergeCell ref="A4:K4"/>
    <mergeCell ref="A6:B6"/>
    <mergeCell ref="A8:C8"/>
    <mergeCell ref="B46:D46"/>
    <mergeCell ref="B47:D47"/>
    <mergeCell ref="B48:D48"/>
    <mergeCell ref="B49:D49"/>
    <mergeCell ref="B50:D50"/>
    <mergeCell ref="B51:D51"/>
    <mergeCell ref="J13:J15"/>
    <mergeCell ref="K13:K15"/>
    <mergeCell ref="D14:D15"/>
    <mergeCell ref="A42:H42"/>
    <mergeCell ref="B44:D44"/>
    <mergeCell ref="B45:D45"/>
    <mergeCell ref="A13:A15"/>
    <mergeCell ref="B13:B15"/>
    <mergeCell ref="C13:C15"/>
    <mergeCell ref="D13:G13"/>
    <mergeCell ref="H13:H15"/>
    <mergeCell ref="I13:I15"/>
    <mergeCell ref="B61:C61"/>
    <mergeCell ref="B62:C62"/>
    <mergeCell ref="B63:C63"/>
    <mergeCell ref="B64:C64"/>
    <mergeCell ref="B65:C65"/>
    <mergeCell ref="B69:C69"/>
    <mergeCell ref="B52:D52"/>
    <mergeCell ref="B53:D53"/>
    <mergeCell ref="B57:C57"/>
    <mergeCell ref="B58:C58"/>
    <mergeCell ref="B59:C59"/>
    <mergeCell ref="B60:C60"/>
    <mergeCell ref="B76:C76"/>
    <mergeCell ref="B77:C77"/>
    <mergeCell ref="A79:H79"/>
    <mergeCell ref="B81:C81"/>
    <mergeCell ref="B82:C82"/>
    <mergeCell ref="B83:C83"/>
    <mergeCell ref="B70:C70"/>
    <mergeCell ref="B71:C71"/>
    <mergeCell ref="B72:C72"/>
    <mergeCell ref="B73:C73"/>
    <mergeCell ref="B74:C74"/>
    <mergeCell ref="B75:C75"/>
    <mergeCell ref="B94:C94"/>
    <mergeCell ref="B95:C95"/>
    <mergeCell ref="B96:C96"/>
    <mergeCell ref="B97:C97"/>
    <mergeCell ref="B100:C100"/>
    <mergeCell ref="B101:C101"/>
    <mergeCell ref="B84:C84"/>
    <mergeCell ref="B85:C85"/>
    <mergeCell ref="B86:C86"/>
    <mergeCell ref="B87:C87"/>
    <mergeCell ref="B88:C88"/>
    <mergeCell ref="B89:C89"/>
    <mergeCell ref="B111:C111"/>
    <mergeCell ref="B112:C112"/>
    <mergeCell ref="B113:C113"/>
    <mergeCell ref="B114:C114"/>
    <mergeCell ref="B118:C118"/>
    <mergeCell ref="B119:C119"/>
    <mergeCell ref="B102:C102"/>
    <mergeCell ref="B106:C106"/>
    <mergeCell ref="B107:C107"/>
    <mergeCell ref="B108:C108"/>
    <mergeCell ref="B109:C109"/>
    <mergeCell ref="B110:C110"/>
    <mergeCell ref="B126:C126"/>
    <mergeCell ref="B130:C130"/>
    <mergeCell ref="B131:C131"/>
    <mergeCell ref="B132:C132"/>
    <mergeCell ref="B133:C133"/>
    <mergeCell ref="B134:C134"/>
    <mergeCell ref="B120:C120"/>
    <mergeCell ref="B121:C121"/>
    <mergeCell ref="B122:C122"/>
    <mergeCell ref="B123:C123"/>
    <mergeCell ref="B124:C124"/>
    <mergeCell ref="B125:C125"/>
    <mergeCell ref="B144:C144"/>
    <mergeCell ref="B145:C145"/>
    <mergeCell ref="B158:C158"/>
    <mergeCell ref="B159:C159"/>
    <mergeCell ref="B160:C160"/>
    <mergeCell ref="B161:C161"/>
    <mergeCell ref="B135:C135"/>
    <mergeCell ref="B136:C136"/>
    <mergeCell ref="B137:C137"/>
    <mergeCell ref="B138:C138"/>
    <mergeCell ref="B142:C142"/>
    <mergeCell ref="B143:C143"/>
    <mergeCell ref="B185:C185"/>
    <mergeCell ref="B186:C186"/>
    <mergeCell ref="B187:C187"/>
    <mergeCell ref="B188:C188"/>
    <mergeCell ref="B192:C192"/>
    <mergeCell ref="B193:C193"/>
    <mergeCell ref="B162:C162"/>
    <mergeCell ref="B166:C166"/>
    <mergeCell ref="B167:C167"/>
    <mergeCell ref="B168:C168"/>
    <mergeCell ref="B169:C169"/>
    <mergeCell ref="B170:C170"/>
    <mergeCell ref="B216:C216"/>
    <mergeCell ref="B218:E218"/>
    <mergeCell ref="A221:C221"/>
    <mergeCell ref="A222:C222"/>
    <mergeCell ref="A224:B224"/>
    <mergeCell ref="B194:C194"/>
    <mergeCell ref="B195:C195"/>
    <mergeCell ref="B212:C212"/>
    <mergeCell ref="B213:C213"/>
    <mergeCell ref="B214:C214"/>
    <mergeCell ref="B215:C215"/>
  </mergeCells>
  <pageMargins left="0.7" right="0.7" top="0.75" bottom="0.75" header="0.3" footer="0.3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46"/>
  <sheetViews>
    <sheetView view="pageBreakPreview" topLeftCell="A100" zoomScale="80" zoomScaleSheetLayoutView="80" workbookViewId="0">
      <selection activeCell="P114" sqref="P114"/>
    </sheetView>
  </sheetViews>
  <sheetFormatPr defaultColWidth="9.140625" defaultRowHeight="15"/>
  <cols>
    <col min="1" max="1" width="5.42578125" style="18" customWidth="1"/>
    <col min="2" max="2" width="17.7109375" style="109" customWidth="1"/>
    <col min="3" max="3" width="12.28515625" style="109" customWidth="1"/>
    <col min="4" max="4" width="13.140625" style="109" customWidth="1"/>
    <col min="5" max="7" width="14" style="109" customWidth="1"/>
    <col min="8" max="8" width="15.140625" style="109" customWidth="1"/>
    <col min="9" max="9" width="15.42578125" style="109" customWidth="1"/>
    <col min="10" max="11" width="14" style="109" customWidth="1"/>
    <col min="12" max="12" width="17.7109375" style="18" customWidth="1"/>
    <col min="13" max="16384" width="9.140625" style="18"/>
  </cols>
  <sheetData>
    <row r="1" spans="1:11" ht="31.5" customHeight="1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2" spans="1:11" ht="3.75" customHeight="1"/>
    <row r="3" spans="1:11" ht="12.75" customHeight="1"/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 ht="15.75" customHeight="1">
      <c r="A6" s="482" t="s">
        <v>203</v>
      </c>
      <c r="B6" s="482"/>
      <c r="C6" s="344" t="s">
        <v>189</v>
      </c>
    </row>
    <row r="8" spans="1:11" ht="11.25" customHeight="1">
      <c r="A8" s="482" t="s">
        <v>204</v>
      </c>
      <c r="B8" s="482"/>
      <c r="C8" s="482"/>
      <c r="D8" s="278" t="s">
        <v>521</v>
      </c>
    </row>
    <row r="9" spans="1:11">
      <c r="A9" s="327"/>
      <c r="B9" s="327"/>
      <c r="C9" s="327"/>
    </row>
    <row r="10" spans="1:11">
      <c r="A10" s="110" t="s">
        <v>205</v>
      </c>
      <c r="B10" s="111"/>
      <c r="C10" s="111"/>
      <c r="D10" s="111"/>
    </row>
    <row r="11" spans="1:11">
      <c r="A11" s="110" t="s">
        <v>206</v>
      </c>
      <c r="B11" s="111"/>
      <c r="C11" s="111"/>
      <c r="D11" s="111"/>
    </row>
    <row r="13" spans="1:11" s="112" customFormat="1" ht="25.5" customHeight="1">
      <c r="A13" s="669"/>
      <c r="B13" s="668" t="s">
        <v>207</v>
      </c>
      <c r="C13" s="668" t="s">
        <v>208</v>
      </c>
      <c r="D13" s="668" t="s">
        <v>209</v>
      </c>
      <c r="E13" s="668"/>
      <c r="F13" s="668"/>
      <c r="G13" s="668"/>
      <c r="H13" s="668" t="s">
        <v>210</v>
      </c>
      <c r="I13" s="668" t="s">
        <v>305</v>
      </c>
      <c r="J13" s="668" t="s">
        <v>306</v>
      </c>
      <c r="K13" s="668" t="s">
        <v>307</v>
      </c>
    </row>
    <row r="14" spans="1:11" s="112" customFormat="1" ht="12">
      <c r="A14" s="669"/>
      <c r="B14" s="668"/>
      <c r="C14" s="668"/>
      <c r="D14" s="669" t="s">
        <v>211</v>
      </c>
      <c r="E14" s="338" t="s">
        <v>29</v>
      </c>
      <c r="F14" s="338"/>
      <c r="G14" s="338"/>
      <c r="H14" s="668"/>
      <c r="I14" s="668"/>
      <c r="J14" s="668"/>
      <c r="K14" s="668"/>
    </row>
    <row r="15" spans="1:11" s="114" customFormat="1" ht="36">
      <c r="A15" s="669"/>
      <c r="B15" s="668"/>
      <c r="C15" s="668"/>
      <c r="D15" s="669"/>
      <c r="E15" s="113" t="s">
        <v>212</v>
      </c>
      <c r="F15" s="113" t="s">
        <v>213</v>
      </c>
      <c r="G15" s="113" t="s">
        <v>214</v>
      </c>
      <c r="H15" s="668"/>
      <c r="I15" s="668"/>
      <c r="J15" s="668"/>
      <c r="K15" s="668"/>
    </row>
    <row r="16" spans="1:11" s="116" customFormat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>
      <c r="A17" s="115"/>
      <c r="B17" s="115" t="s">
        <v>364</v>
      </c>
      <c r="C17" s="115"/>
      <c r="D17" s="322"/>
      <c r="E17" s="322"/>
      <c r="F17" s="322"/>
      <c r="G17" s="322"/>
      <c r="H17" s="322"/>
      <c r="I17" s="322">
        <f>SUM(I18:I20)</f>
        <v>686346.87842800003</v>
      </c>
      <c r="J17" s="157">
        <v>686346.88</v>
      </c>
      <c r="K17" s="157">
        <v>686346.88</v>
      </c>
    </row>
    <row r="18" spans="1:11" ht="24.75">
      <c r="A18" s="117">
        <v>1</v>
      </c>
      <c r="B18" s="113" t="s">
        <v>302</v>
      </c>
      <c r="C18" s="118">
        <v>0.9</v>
      </c>
      <c r="D18" s="157">
        <f>E18+F18+G18</f>
        <v>15881.88</v>
      </c>
      <c r="E18" s="157">
        <v>15881.88</v>
      </c>
      <c r="F18" s="157"/>
      <c r="G18" s="157"/>
      <c r="H18" s="157"/>
      <c r="I18" s="157">
        <f>(C18*D18+H18)*8</f>
        <v>114349.53599999999</v>
      </c>
      <c r="J18" s="157"/>
      <c r="K18" s="157"/>
    </row>
    <row r="19" spans="1:11">
      <c r="A19" s="117">
        <v>2</v>
      </c>
      <c r="B19" s="113" t="s">
        <v>303</v>
      </c>
      <c r="C19" s="118">
        <v>2.33</v>
      </c>
      <c r="D19" s="157">
        <f t="shared" ref="D19" si="0">E19+F19+G19</f>
        <v>27685.103950000001</v>
      </c>
      <c r="E19" s="157">
        <v>27685.103950000001</v>
      </c>
      <c r="F19" s="157"/>
      <c r="G19" s="157"/>
      <c r="H19" s="157"/>
      <c r="I19" s="157">
        <f>(C19*D19+H19)*8</f>
        <v>516050.33762800001</v>
      </c>
      <c r="J19" s="157"/>
      <c r="K19" s="157"/>
    </row>
    <row r="20" spans="1:11">
      <c r="A20" s="117">
        <v>3</v>
      </c>
      <c r="B20" s="113" t="s">
        <v>304</v>
      </c>
      <c r="C20" s="118">
        <v>1.2</v>
      </c>
      <c r="D20" s="157">
        <f>E20+F20+G20</f>
        <v>5827.8130000000001</v>
      </c>
      <c r="E20" s="157">
        <v>5827.8130000000001</v>
      </c>
      <c r="F20" s="157"/>
      <c r="G20" s="157"/>
      <c r="H20" s="157"/>
      <c r="I20" s="157">
        <f>(C20*(D20+H20)*8)</f>
        <v>55947.004800000002</v>
      </c>
      <c r="J20" s="157"/>
      <c r="K20" s="157"/>
    </row>
    <row r="21" spans="1:11" s="156" customFormat="1">
      <c r="A21" s="154" t="s">
        <v>215</v>
      </c>
      <c r="B21" s="155"/>
      <c r="C21" s="155"/>
      <c r="D21" s="158"/>
      <c r="E21" s="158"/>
      <c r="F21" s="158"/>
      <c r="G21" s="158"/>
      <c r="H21" s="158"/>
      <c r="I21" s="158">
        <f>SUM(I18:I20)</f>
        <v>686346.87842800003</v>
      </c>
      <c r="J21" s="158">
        <f>SUM(J17:J20)</f>
        <v>686346.88</v>
      </c>
      <c r="K21" s="158">
        <f>SUM(K17:K20)</f>
        <v>686346.88</v>
      </c>
    </row>
    <row r="24" spans="1:11" ht="44.25" customHeight="1">
      <c r="A24" s="674" t="s">
        <v>223</v>
      </c>
      <c r="B24" s="674"/>
      <c r="C24" s="674"/>
      <c r="D24" s="674"/>
      <c r="E24" s="674"/>
      <c r="F24" s="674"/>
      <c r="G24" s="674"/>
      <c r="H24" s="674"/>
    </row>
    <row r="26" spans="1:11" ht="48.75">
      <c r="A26" s="119" t="s">
        <v>217</v>
      </c>
      <c r="B26" s="670" t="s">
        <v>224</v>
      </c>
      <c r="C26" s="675"/>
      <c r="D26" s="671"/>
      <c r="E26" s="113" t="s">
        <v>225</v>
      </c>
      <c r="F26" s="113" t="s">
        <v>296</v>
      </c>
      <c r="G26" s="113" t="s">
        <v>297</v>
      </c>
      <c r="H26" s="113" t="s">
        <v>298</v>
      </c>
    </row>
    <row r="27" spans="1:11">
      <c r="A27" s="115">
        <v>1</v>
      </c>
      <c r="B27" s="672">
        <v>2</v>
      </c>
      <c r="C27" s="676"/>
      <c r="D27" s="673"/>
      <c r="E27" s="115">
        <v>3</v>
      </c>
      <c r="F27" s="115">
        <v>4</v>
      </c>
      <c r="G27" s="115">
        <v>5</v>
      </c>
      <c r="H27" s="115">
        <v>6</v>
      </c>
    </row>
    <row r="28" spans="1:11" ht="30" customHeight="1">
      <c r="A28" s="117">
        <v>1</v>
      </c>
      <c r="B28" s="677" t="s">
        <v>226</v>
      </c>
      <c r="C28" s="678"/>
      <c r="D28" s="679"/>
      <c r="E28" s="157"/>
      <c r="F28" s="157">
        <f>F30</f>
        <v>150996.31325416002</v>
      </c>
      <c r="G28" s="157">
        <f>G30</f>
        <v>150996.31359999999</v>
      </c>
      <c r="H28" s="157">
        <f>H30</f>
        <v>150996.31359999999</v>
      </c>
    </row>
    <row r="29" spans="1:11" ht="21" customHeight="1">
      <c r="A29" s="117"/>
      <c r="B29" s="677" t="s">
        <v>29</v>
      </c>
      <c r="C29" s="678"/>
      <c r="D29" s="679"/>
      <c r="E29" s="157"/>
      <c r="F29" s="157"/>
      <c r="G29" s="157"/>
      <c r="H29" s="157"/>
    </row>
    <row r="30" spans="1:11" ht="21" customHeight="1">
      <c r="A30" s="121"/>
      <c r="B30" s="677" t="s">
        <v>227</v>
      </c>
      <c r="C30" s="678"/>
      <c r="D30" s="679"/>
      <c r="E30" s="157">
        <f>I21</f>
        <v>686346.87842800003</v>
      </c>
      <c r="F30" s="157">
        <f>E30*0.22</f>
        <v>150996.31325416002</v>
      </c>
      <c r="G30" s="157">
        <f>J21*0.22</f>
        <v>150996.31359999999</v>
      </c>
      <c r="H30" s="157">
        <f>K21*0.22</f>
        <v>150996.31359999999</v>
      </c>
    </row>
    <row r="31" spans="1:11" ht="27.75" customHeight="1">
      <c r="A31" s="117">
        <v>2</v>
      </c>
      <c r="B31" s="677" t="s">
        <v>228</v>
      </c>
      <c r="C31" s="678"/>
      <c r="D31" s="679"/>
      <c r="E31" s="157"/>
      <c r="F31" s="157">
        <f>F32+F33</f>
        <v>21276.753231268001</v>
      </c>
      <c r="G31" s="157">
        <f>G32+G33</f>
        <v>21276.753280000004</v>
      </c>
      <c r="H31" s="157">
        <f>H32+H33</f>
        <v>21276.753280000004</v>
      </c>
    </row>
    <row r="32" spans="1:11" ht="42" customHeight="1">
      <c r="A32" s="117"/>
      <c r="B32" s="677" t="s">
        <v>229</v>
      </c>
      <c r="C32" s="678"/>
      <c r="D32" s="679"/>
      <c r="E32" s="157">
        <f>E30</f>
        <v>686346.87842800003</v>
      </c>
      <c r="F32" s="157">
        <f>E32*0.029</f>
        <v>19904.059474412003</v>
      </c>
      <c r="G32" s="157">
        <f>J21*0.029</f>
        <v>19904.059520000003</v>
      </c>
      <c r="H32" s="157">
        <f>K21*0.029</f>
        <v>19904.059520000003</v>
      </c>
    </row>
    <row r="33" spans="1:11" ht="39" customHeight="1">
      <c r="A33" s="117"/>
      <c r="B33" s="677" t="s">
        <v>230</v>
      </c>
      <c r="C33" s="678"/>
      <c r="D33" s="679"/>
      <c r="E33" s="157">
        <f>E32</f>
        <v>686346.87842800003</v>
      </c>
      <c r="F33" s="157">
        <f>E33*0.002</f>
        <v>1372.6937568560002</v>
      </c>
      <c r="G33" s="157">
        <f>J21*0.002</f>
        <v>1372.6937600000001</v>
      </c>
      <c r="H33" s="157">
        <f>K21*0.002</f>
        <v>1372.6937600000001</v>
      </c>
    </row>
    <row r="34" spans="1:11" ht="35.25" customHeight="1">
      <c r="A34" s="117">
        <v>3</v>
      </c>
      <c r="B34" s="677" t="s">
        <v>231</v>
      </c>
      <c r="C34" s="678"/>
      <c r="D34" s="679"/>
      <c r="E34" s="157">
        <f>E33</f>
        <v>686346.87842800003</v>
      </c>
      <c r="F34" s="157">
        <f>E34*0.051</f>
        <v>35003.690799828</v>
      </c>
      <c r="G34" s="157">
        <f>J21*0.051</f>
        <v>35003.690879999995</v>
      </c>
      <c r="H34" s="157">
        <f>K21*0.051</f>
        <v>35003.690879999995</v>
      </c>
    </row>
    <row r="35" spans="1:11" s="156" customFormat="1">
      <c r="A35" s="154"/>
      <c r="B35" s="680" t="s">
        <v>215</v>
      </c>
      <c r="C35" s="680"/>
      <c r="D35" s="680"/>
      <c r="E35" s="158"/>
      <c r="F35" s="158">
        <f>F28+F31+F34</f>
        <v>207276.75728525603</v>
      </c>
      <c r="G35" s="158">
        <f>G28+G31+G34</f>
        <v>207276.75776000001</v>
      </c>
      <c r="H35" s="158">
        <f t="shared" ref="H35" si="1">H28+H31+H34</f>
        <v>207276.75776000001</v>
      </c>
      <c r="I35" s="159"/>
      <c r="J35" s="159"/>
      <c r="K35" s="159"/>
    </row>
    <row r="37" spans="1:11" hidden="1"/>
    <row r="38" spans="1:11" s="66" customFormat="1" ht="14.25" hidden="1">
      <c r="A38" s="66" t="s">
        <v>235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idden="1"/>
    <row r="40" spans="1:11" ht="72.75" hidden="1">
      <c r="A40" s="119" t="s">
        <v>217</v>
      </c>
      <c r="B40" s="670" t="s">
        <v>236</v>
      </c>
      <c r="C40" s="671"/>
      <c r="D40" s="113" t="s">
        <v>237</v>
      </c>
      <c r="E40" s="113" t="s">
        <v>238</v>
      </c>
      <c r="F40" s="113" t="s">
        <v>311</v>
      </c>
      <c r="G40" s="113" t="s">
        <v>312</v>
      </c>
      <c r="H40" s="113" t="s">
        <v>313</v>
      </c>
    </row>
    <row r="41" spans="1:11" hidden="1">
      <c r="A41" s="115">
        <v>1</v>
      </c>
      <c r="B41" s="672">
        <v>2</v>
      </c>
      <c r="C41" s="673"/>
      <c r="D41" s="115">
        <v>3</v>
      </c>
      <c r="E41" s="115">
        <v>4</v>
      </c>
      <c r="F41" s="115">
        <v>5</v>
      </c>
      <c r="G41" s="115">
        <v>6</v>
      </c>
      <c r="H41" s="115">
        <v>7</v>
      </c>
    </row>
    <row r="42" spans="1:11" hidden="1">
      <c r="A42" s="117">
        <v>1</v>
      </c>
      <c r="B42" s="684" t="s">
        <v>309</v>
      </c>
      <c r="C42" s="685"/>
      <c r="D42" s="118"/>
      <c r="E42" s="160">
        <v>1.4999999999999999E-2</v>
      </c>
      <c r="F42" s="157">
        <f>ROUND(D42*E42,0)</f>
        <v>0</v>
      </c>
      <c r="G42" s="157">
        <f>F42</f>
        <v>0</v>
      </c>
      <c r="H42" s="157">
        <f>G42</f>
        <v>0</v>
      </c>
    </row>
    <row r="43" spans="1:11" hidden="1">
      <c r="A43" s="117">
        <v>2</v>
      </c>
      <c r="B43" s="684" t="s">
        <v>310</v>
      </c>
      <c r="C43" s="685"/>
      <c r="D43" s="118"/>
      <c r="E43" s="160">
        <v>2.1999999999999999E-2</v>
      </c>
      <c r="F43" s="157">
        <f>ROUND(D43*E43,0)</f>
        <v>0</v>
      </c>
      <c r="G43" s="157">
        <f>F43</f>
        <v>0</v>
      </c>
      <c r="H43" s="157">
        <f>G43</f>
        <v>0</v>
      </c>
    </row>
    <row r="44" spans="1:11" s="156" customFormat="1" hidden="1">
      <c r="A44" s="154"/>
      <c r="B44" s="681" t="s">
        <v>215</v>
      </c>
      <c r="C44" s="682"/>
      <c r="D44" s="155"/>
      <c r="E44" s="155"/>
      <c r="F44" s="158">
        <f>SUM(F42:F43)</f>
        <v>0</v>
      </c>
      <c r="G44" s="158">
        <f>SUM(G42:G43)</f>
        <v>0</v>
      </c>
      <c r="H44" s="158">
        <f>SUM(H42:H43)</f>
        <v>0</v>
      </c>
      <c r="I44" s="159"/>
      <c r="J44" s="159"/>
      <c r="K44" s="159"/>
    </row>
    <row r="45" spans="1:11" hidden="1"/>
    <row r="46" spans="1:11" hidden="1">
      <c r="A46" s="683" t="s">
        <v>239</v>
      </c>
      <c r="B46" s="683"/>
      <c r="C46" s="683"/>
      <c r="D46" s="683"/>
      <c r="E46" s="683"/>
      <c r="F46" s="683"/>
      <c r="G46" s="683"/>
      <c r="H46" s="683"/>
    </row>
    <row r="47" spans="1:11" hidden="1"/>
    <row r="48" spans="1:11" ht="36.75" hidden="1">
      <c r="A48" s="119" t="s">
        <v>217</v>
      </c>
      <c r="B48" s="670" t="s">
        <v>0</v>
      </c>
      <c r="C48" s="671"/>
      <c r="D48" s="113" t="s">
        <v>240</v>
      </c>
      <c r="E48" s="113" t="s">
        <v>234</v>
      </c>
      <c r="F48" s="113" t="s">
        <v>241</v>
      </c>
      <c r="G48" s="113" t="s">
        <v>241</v>
      </c>
      <c r="H48" s="113" t="s">
        <v>241</v>
      </c>
    </row>
    <row r="49" spans="1:11" hidden="1">
      <c r="A49" s="115">
        <v>1</v>
      </c>
      <c r="B49" s="672">
        <v>2</v>
      </c>
      <c r="C49" s="673"/>
      <c r="D49" s="115">
        <v>3</v>
      </c>
      <c r="E49" s="115">
        <v>4</v>
      </c>
      <c r="F49" s="115">
        <v>5</v>
      </c>
      <c r="G49" s="115">
        <v>6</v>
      </c>
      <c r="H49" s="115">
        <v>7</v>
      </c>
    </row>
    <row r="50" spans="1:11" ht="28.5" hidden="1" customHeight="1">
      <c r="A50" s="117"/>
      <c r="B50" s="672"/>
      <c r="C50" s="673"/>
      <c r="D50" s="118"/>
      <c r="E50" s="118"/>
      <c r="F50" s="118"/>
      <c r="G50" s="118"/>
      <c r="H50" s="118"/>
    </row>
    <row r="51" spans="1:11" hidden="1">
      <c r="A51" s="117"/>
      <c r="B51" s="672"/>
      <c r="C51" s="673"/>
      <c r="D51" s="118"/>
      <c r="E51" s="118"/>
      <c r="F51" s="118"/>
      <c r="G51" s="118"/>
      <c r="H51" s="118"/>
    </row>
    <row r="52" spans="1:11" ht="39.75" hidden="1" customHeight="1">
      <c r="A52" s="117"/>
      <c r="B52" s="672"/>
      <c r="C52" s="673"/>
      <c r="D52" s="118"/>
      <c r="E52" s="118"/>
      <c r="F52" s="118"/>
      <c r="G52" s="118"/>
      <c r="H52" s="118"/>
    </row>
    <row r="53" spans="1:11" hidden="1">
      <c r="A53" s="117"/>
      <c r="B53" s="672"/>
      <c r="C53" s="673"/>
      <c r="D53" s="118"/>
      <c r="E53" s="118"/>
      <c r="F53" s="118"/>
      <c r="G53" s="118"/>
      <c r="H53" s="118"/>
    </row>
    <row r="54" spans="1:11" hidden="1">
      <c r="A54" s="117"/>
      <c r="B54" s="672"/>
      <c r="C54" s="673"/>
      <c r="D54" s="118"/>
      <c r="E54" s="118"/>
      <c r="F54" s="118"/>
      <c r="G54" s="118"/>
      <c r="H54" s="118"/>
    </row>
    <row r="55" spans="1:11" hidden="1">
      <c r="A55" s="117"/>
      <c r="B55" s="672"/>
      <c r="C55" s="673"/>
      <c r="D55" s="118"/>
      <c r="E55" s="118"/>
      <c r="F55" s="118"/>
      <c r="G55" s="118"/>
      <c r="H55" s="118"/>
    </row>
    <row r="56" spans="1:11" hidden="1">
      <c r="A56" s="117"/>
      <c r="B56" s="672" t="s">
        <v>215</v>
      </c>
      <c r="C56" s="673"/>
      <c r="D56" s="118"/>
      <c r="E56" s="118"/>
      <c r="F56" s="118"/>
      <c r="G56" s="118"/>
      <c r="H56" s="118"/>
    </row>
    <row r="58" spans="1:11" s="66" customFormat="1" ht="14.25">
      <c r="A58" s="66" t="s">
        <v>242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</row>
    <row r="60" spans="1:11" s="66" customFormat="1" ht="14.25">
      <c r="A60" s="66" t="s">
        <v>250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</row>
    <row r="62" spans="1:11" ht="36.75">
      <c r="A62" s="119" t="s">
        <v>217</v>
      </c>
      <c r="B62" s="670" t="s">
        <v>0</v>
      </c>
      <c r="C62" s="671"/>
      <c r="D62" s="113" t="s">
        <v>251</v>
      </c>
      <c r="E62" s="113" t="s">
        <v>252</v>
      </c>
      <c r="F62" s="113" t="s">
        <v>253</v>
      </c>
      <c r="G62" s="113" t="s">
        <v>299</v>
      </c>
      <c r="H62" s="113" t="s">
        <v>300</v>
      </c>
      <c r="I62" s="113" t="s">
        <v>301</v>
      </c>
    </row>
    <row r="63" spans="1:11">
      <c r="A63" s="115">
        <v>1</v>
      </c>
      <c r="B63" s="672">
        <v>2</v>
      </c>
      <c r="C63" s="673"/>
      <c r="D63" s="115">
        <v>3</v>
      </c>
      <c r="E63" s="115">
        <v>4</v>
      </c>
      <c r="F63" s="115">
        <v>5</v>
      </c>
      <c r="G63" s="115">
        <v>6</v>
      </c>
      <c r="H63" s="115">
        <v>7</v>
      </c>
      <c r="I63" s="115">
        <v>8</v>
      </c>
    </row>
    <row r="64" spans="1:11">
      <c r="A64" s="115">
        <v>1</v>
      </c>
      <c r="B64" s="684" t="s">
        <v>434</v>
      </c>
      <c r="C64" s="685"/>
      <c r="D64" s="157">
        <v>149.5334</v>
      </c>
      <c r="E64" s="157">
        <v>25.72</v>
      </c>
      <c r="F64" s="157">
        <v>1</v>
      </c>
      <c r="G64" s="157">
        <f>D64*E64*F64</f>
        <v>3845.9990479999997</v>
      </c>
      <c r="H64" s="157">
        <v>3846</v>
      </c>
      <c r="I64" s="157">
        <v>3846</v>
      </c>
    </row>
    <row r="65" spans="1:12" ht="48" customHeight="1">
      <c r="A65" s="115"/>
      <c r="B65" s="703" t="s">
        <v>585</v>
      </c>
      <c r="C65" s="704"/>
      <c r="D65" s="157"/>
      <c r="E65" s="157"/>
      <c r="F65" s="157">
        <v>1</v>
      </c>
      <c r="G65" s="157">
        <f t="shared" ref="G65:G66" si="2">D65*E65*F65</f>
        <v>0</v>
      </c>
      <c r="H65" s="157"/>
      <c r="I65" s="157"/>
    </row>
    <row r="66" spans="1:12">
      <c r="A66" s="115"/>
      <c r="B66" s="688"/>
      <c r="C66" s="689"/>
      <c r="D66" s="157"/>
      <c r="E66" s="157"/>
      <c r="F66" s="157"/>
      <c r="G66" s="157">
        <f t="shared" si="2"/>
        <v>0</v>
      </c>
      <c r="H66" s="157"/>
      <c r="I66" s="157"/>
    </row>
    <row r="67" spans="1:12" s="156" customFormat="1">
      <c r="A67" s="154"/>
      <c r="B67" s="681" t="s">
        <v>215</v>
      </c>
      <c r="C67" s="682"/>
      <c r="D67" s="158"/>
      <c r="E67" s="158"/>
      <c r="F67" s="158"/>
      <c r="G67" s="158">
        <f>SUM(G64:G66)</f>
        <v>3845.9990479999997</v>
      </c>
      <c r="H67" s="158">
        <f>SUM(H64:H66)</f>
        <v>3846</v>
      </c>
      <c r="I67" s="158">
        <f>SUM(I64:I66)</f>
        <v>3846</v>
      </c>
      <c r="J67" s="159"/>
      <c r="K67" s="159"/>
    </row>
    <row r="68" spans="1:12">
      <c r="L68" s="307"/>
    </row>
    <row r="69" spans="1:12" s="66" customFormat="1" ht="14.25" hidden="1">
      <c r="A69" s="66" t="s">
        <v>254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</row>
    <row r="70" spans="1:12" hidden="1"/>
    <row r="71" spans="1:12" ht="48.75" hidden="1">
      <c r="A71" s="119" t="s">
        <v>217</v>
      </c>
      <c r="B71" s="670" t="s">
        <v>0</v>
      </c>
      <c r="C71" s="671"/>
      <c r="D71" s="113" t="s">
        <v>255</v>
      </c>
      <c r="E71" s="113" t="s">
        <v>256</v>
      </c>
      <c r="F71" s="113" t="s">
        <v>257</v>
      </c>
      <c r="G71" s="113" t="s">
        <v>257</v>
      </c>
      <c r="H71" s="113"/>
    </row>
    <row r="72" spans="1:12" hidden="1">
      <c r="A72" s="115">
        <v>1</v>
      </c>
      <c r="B72" s="672">
        <v>2</v>
      </c>
      <c r="C72" s="673"/>
      <c r="D72" s="115">
        <v>3</v>
      </c>
      <c r="E72" s="115">
        <v>4</v>
      </c>
      <c r="F72" s="115">
        <v>5</v>
      </c>
      <c r="G72" s="115">
        <v>6</v>
      </c>
      <c r="H72" s="115"/>
    </row>
    <row r="73" spans="1:12" hidden="1">
      <c r="A73" s="117"/>
      <c r="B73" s="672"/>
      <c r="C73" s="673"/>
      <c r="D73" s="118"/>
      <c r="E73" s="118"/>
      <c r="F73" s="118"/>
      <c r="G73" s="118"/>
      <c r="H73" s="118"/>
    </row>
    <row r="74" spans="1:12" hidden="1">
      <c r="A74" s="117"/>
      <c r="B74" s="672"/>
      <c r="C74" s="673"/>
      <c r="D74" s="118"/>
      <c r="E74" s="118"/>
      <c r="F74" s="118"/>
      <c r="G74" s="118"/>
      <c r="H74" s="118"/>
    </row>
    <row r="75" spans="1:12" hidden="1">
      <c r="A75" s="117"/>
      <c r="B75" s="672"/>
      <c r="C75" s="673"/>
      <c r="D75" s="118"/>
      <c r="E75" s="118"/>
      <c r="F75" s="118"/>
      <c r="G75" s="118"/>
      <c r="H75" s="118"/>
    </row>
    <row r="76" spans="1:12" hidden="1">
      <c r="A76" s="117"/>
      <c r="B76" s="672"/>
      <c r="C76" s="673"/>
      <c r="D76" s="118"/>
      <c r="E76" s="118"/>
      <c r="F76" s="118"/>
      <c r="G76" s="118"/>
      <c r="H76" s="118"/>
    </row>
    <row r="77" spans="1:12" hidden="1">
      <c r="A77" s="117"/>
      <c r="B77" s="672"/>
      <c r="C77" s="673"/>
      <c r="D77" s="118"/>
      <c r="E77" s="118"/>
      <c r="F77" s="118"/>
      <c r="G77" s="118"/>
      <c r="H77" s="118"/>
    </row>
    <row r="78" spans="1:12" hidden="1">
      <c r="A78" s="117"/>
      <c r="B78" s="672"/>
      <c r="C78" s="673"/>
      <c r="D78" s="118"/>
      <c r="E78" s="118"/>
      <c r="F78" s="118"/>
      <c r="G78" s="118"/>
      <c r="H78" s="118"/>
    </row>
    <row r="79" spans="1:12" s="156" customFormat="1" hidden="1">
      <c r="A79" s="154"/>
      <c r="B79" s="681" t="s">
        <v>215</v>
      </c>
      <c r="C79" s="682"/>
      <c r="D79" s="155"/>
      <c r="E79" s="155"/>
      <c r="F79" s="155">
        <f>SUM(F73:F78)</f>
        <v>0</v>
      </c>
      <c r="G79" s="155">
        <f t="shared" ref="G79" si="3">SUM(G73:G78)</f>
        <v>0</v>
      </c>
      <c r="H79" s="155"/>
      <c r="I79" s="159"/>
      <c r="J79" s="159"/>
      <c r="K79" s="159"/>
    </row>
    <row r="80" spans="1:12" hidden="1">
      <c r="H80" s="308"/>
      <c r="I80" s="308"/>
    </row>
    <row r="81" spans="1:11" s="66" customFormat="1" ht="14.25">
      <c r="A81" s="66" t="s">
        <v>258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3" spans="1:11" ht="24.75">
      <c r="A83" s="119" t="s">
        <v>217</v>
      </c>
      <c r="B83" s="670" t="s">
        <v>0</v>
      </c>
      <c r="C83" s="671"/>
      <c r="D83" s="113" t="s">
        <v>259</v>
      </c>
      <c r="E83" s="113" t="s">
        <v>260</v>
      </c>
      <c r="F83" s="113" t="s">
        <v>299</v>
      </c>
      <c r="G83" s="113" t="s">
        <v>300</v>
      </c>
      <c r="H83" s="113" t="s">
        <v>301</v>
      </c>
    </row>
    <row r="84" spans="1:11">
      <c r="A84" s="115">
        <v>1</v>
      </c>
      <c r="B84" s="672">
        <v>2</v>
      </c>
      <c r="C84" s="673"/>
      <c r="D84" s="115">
        <v>3</v>
      </c>
      <c r="E84" s="115">
        <v>4</v>
      </c>
      <c r="F84" s="115">
        <v>5</v>
      </c>
      <c r="G84" s="115">
        <v>6</v>
      </c>
      <c r="H84" s="115">
        <v>7</v>
      </c>
    </row>
    <row r="85" spans="1:11">
      <c r="A85" s="115">
        <v>1</v>
      </c>
      <c r="B85" s="343" t="s">
        <v>522</v>
      </c>
      <c r="C85" s="310"/>
      <c r="D85" s="118">
        <v>1</v>
      </c>
      <c r="E85" s="157">
        <v>15000</v>
      </c>
      <c r="F85" s="157">
        <f>E85*D85</f>
        <v>15000</v>
      </c>
      <c r="G85" s="157">
        <v>15000</v>
      </c>
      <c r="H85" s="157">
        <v>15000</v>
      </c>
    </row>
    <row r="86" spans="1:11">
      <c r="A86" s="115"/>
      <c r="B86" s="343" t="s">
        <v>523</v>
      </c>
      <c r="C86" s="310"/>
      <c r="D86" s="118"/>
      <c r="E86" s="157"/>
      <c r="F86" s="157"/>
      <c r="G86" s="157"/>
      <c r="H86" s="157"/>
    </row>
    <row r="87" spans="1:11">
      <c r="A87" s="115"/>
      <c r="B87" s="343" t="s">
        <v>524</v>
      </c>
      <c r="C87" s="310"/>
      <c r="D87" s="118"/>
      <c r="E87" s="157"/>
      <c r="F87" s="157"/>
      <c r="G87" s="157"/>
      <c r="H87" s="157"/>
    </row>
    <row r="88" spans="1:11">
      <c r="A88" s="115">
        <v>2</v>
      </c>
      <c r="B88" s="376" t="s">
        <v>560</v>
      </c>
      <c r="C88" s="310"/>
      <c r="D88" s="118"/>
      <c r="E88" s="157"/>
      <c r="F88" s="157"/>
      <c r="G88" s="157"/>
      <c r="H88" s="157"/>
    </row>
    <row r="89" spans="1:11">
      <c r="A89" s="115"/>
      <c r="B89" s="375" t="s">
        <v>561</v>
      </c>
      <c r="C89" s="310"/>
      <c r="D89" s="118"/>
      <c r="E89" s="157"/>
      <c r="F89" s="157"/>
      <c r="G89" s="157"/>
      <c r="H89" s="157"/>
    </row>
    <row r="90" spans="1:11">
      <c r="A90" s="115"/>
      <c r="B90" s="377">
        <v>32485.3</v>
      </c>
      <c r="C90" s="310"/>
      <c r="D90" s="118">
        <v>1</v>
      </c>
      <c r="E90" s="157">
        <v>32485.3</v>
      </c>
      <c r="F90" s="157">
        <v>32485.3</v>
      </c>
      <c r="G90" s="157"/>
      <c r="H90" s="157"/>
    </row>
    <row r="91" spans="1:11">
      <c r="A91" s="115"/>
      <c r="B91" s="684" t="s">
        <v>532</v>
      </c>
      <c r="C91" s="685"/>
      <c r="D91" s="118"/>
      <c r="E91" s="157"/>
      <c r="F91" s="157">
        <f>F85+F90</f>
        <v>47485.3</v>
      </c>
      <c r="G91" s="157">
        <v>15000</v>
      </c>
      <c r="H91" s="157">
        <v>15000</v>
      </c>
    </row>
    <row r="93" spans="1:11" s="66" customFormat="1" ht="14.25">
      <c r="A93" s="66" t="s">
        <v>261</v>
      </c>
      <c r="B93" s="111"/>
      <c r="C93" s="111"/>
      <c r="D93" s="111"/>
      <c r="E93" s="111"/>
      <c r="F93" s="111"/>
      <c r="G93" s="111"/>
      <c r="H93" s="111"/>
      <c r="I93" s="111"/>
      <c r="J93" s="111"/>
      <c r="K93" s="111"/>
    </row>
    <row r="95" spans="1:11" ht="24.75">
      <c r="A95" s="119" t="s">
        <v>217</v>
      </c>
      <c r="B95" s="670" t="s">
        <v>236</v>
      </c>
      <c r="C95" s="671"/>
      <c r="D95" s="113" t="s">
        <v>259</v>
      </c>
      <c r="E95" s="113" t="s">
        <v>260</v>
      </c>
      <c r="F95" s="113" t="s">
        <v>299</v>
      </c>
      <c r="G95" s="113" t="s">
        <v>300</v>
      </c>
      <c r="H95" s="113" t="s">
        <v>301</v>
      </c>
      <c r="I95"/>
    </row>
    <row r="96" spans="1:11">
      <c r="A96" s="115">
        <v>1</v>
      </c>
      <c r="B96" s="672">
        <v>2</v>
      </c>
      <c r="C96" s="673"/>
      <c r="D96" s="115">
        <v>3</v>
      </c>
      <c r="E96" s="115">
        <v>4</v>
      </c>
      <c r="F96" s="115">
        <v>5</v>
      </c>
      <c r="G96" s="115">
        <v>6</v>
      </c>
      <c r="H96" s="115">
        <v>7</v>
      </c>
      <c r="I96"/>
    </row>
    <row r="97" spans="1:9">
      <c r="A97" s="117"/>
      <c r="B97" s="318" t="s">
        <v>525</v>
      </c>
      <c r="C97" s="319"/>
      <c r="D97" s="118"/>
      <c r="E97" s="157"/>
      <c r="F97" s="157"/>
      <c r="G97" s="157">
        <v>17000</v>
      </c>
      <c r="H97" s="157">
        <v>17000</v>
      </c>
      <c r="I97"/>
    </row>
    <row r="98" spans="1:9">
      <c r="A98" s="117">
        <v>1</v>
      </c>
      <c r="B98" s="375" t="s">
        <v>562</v>
      </c>
      <c r="C98" s="342"/>
      <c r="D98" s="118"/>
      <c r="E98" s="157"/>
      <c r="F98" s="157"/>
      <c r="G98" s="157"/>
      <c r="H98" s="157"/>
      <c r="I98"/>
    </row>
    <row r="99" spans="1:9">
      <c r="A99" s="117"/>
      <c r="B99" s="375" t="s">
        <v>563</v>
      </c>
      <c r="C99" s="374"/>
      <c r="D99" s="118">
        <v>1</v>
      </c>
      <c r="E99" s="157">
        <v>2100</v>
      </c>
      <c r="F99" s="157">
        <v>2100</v>
      </c>
      <c r="G99" s="157"/>
      <c r="H99" s="157"/>
      <c r="I99"/>
    </row>
    <row r="100" spans="1:9">
      <c r="A100" s="117">
        <v>2</v>
      </c>
      <c r="B100" s="375" t="s">
        <v>564</v>
      </c>
      <c r="C100" s="374"/>
      <c r="D100" s="118"/>
      <c r="E100" s="157"/>
      <c r="F100" s="157"/>
      <c r="G100" s="157"/>
      <c r="H100" s="157"/>
      <c r="I100"/>
    </row>
    <row r="101" spans="1:9">
      <c r="A101" s="117"/>
      <c r="B101" s="375" t="s">
        <v>565</v>
      </c>
      <c r="C101" s="374"/>
      <c r="D101" s="118">
        <v>1</v>
      </c>
      <c r="E101" s="157">
        <v>4800</v>
      </c>
      <c r="F101" s="157">
        <v>4800</v>
      </c>
      <c r="G101" s="157"/>
      <c r="H101" s="157"/>
      <c r="I101"/>
    </row>
    <row r="102" spans="1:9">
      <c r="A102" s="117">
        <v>3</v>
      </c>
      <c r="B102" s="375" t="s">
        <v>575</v>
      </c>
      <c r="C102" s="374"/>
      <c r="D102" s="118"/>
      <c r="E102" s="157"/>
      <c r="F102" s="157"/>
      <c r="G102" s="157"/>
      <c r="H102" s="157"/>
      <c r="I102"/>
    </row>
    <row r="103" spans="1:9">
      <c r="A103" s="117"/>
      <c r="B103" s="375" t="s">
        <v>576</v>
      </c>
      <c r="C103" s="374"/>
      <c r="D103" s="118">
        <v>1</v>
      </c>
      <c r="E103" s="157">
        <v>1436</v>
      </c>
      <c r="F103" s="157">
        <v>1436</v>
      </c>
      <c r="G103" s="157"/>
      <c r="H103" s="157"/>
      <c r="I103"/>
    </row>
    <row r="104" spans="1:9">
      <c r="A104" s="117">
        <v>4</v>
      </c>
      <c r="B104" s="375" t="s">
        <v>580</v>
      </c>
      <c r="C104" s="374"/>
      <c r="D104" s="118"/>
      <c r="E104" s="157"/>
      <c r="F104" s="157"/>
      <c r="G104" s="157"/>
      <c r="H104" s="157"/>
      <c r="I104"/>
    </row>
    <row r="105" spans="1:9">
      <c r="A105" s="117"/>
      <c r="B105" s="375" t="s">
        <v>581</v>
      </c>
      <c r="C105" s="374"/>
      <c r="D105" s="118">
        <v>1</v>
      </c>
      <c r="E105" s="157">
        <v>16464</v>
      </c>
      <c r="F105" s="157">
        <v>16464</v>
      </c>
      <c r="G105" s="157"/>
      <c r="H105" s="157"/>
      <c r="I105"/>
    </row>
    <row r="106" spans="1:9">
      <c r="B106" s="376" t="s">
        <v>566</v>
      </c>
      <c r="C106" s="374"/>
      <c r="D106" s="118"/>
      <c r="E106" s="157"/>
      <c r="F106" s="157"/>
      <c r="G106" s="157"/>
      <c r="H106" s="157"/>
      <c r="I106"/>
    </row>
    <row r="107" spans="1:9">
      <c r="A107" s="117">
        <v>5</v>
      </c>
      <c r="B107" s="375" t="s">
        <v>567</v>
      </c>
      <c r="C107" s="374"/>
      <c r="D107" s="118"/>
      <c r="E107" s="157"/>
      <c r="F107" s="157"/>
      <c r="G107" s="157"/>
      <c r="H107" s="157"/>
      <c r="I107"/>
    </row>
    <row r="108" spans="1:9">
      <c r="A108" s="117"/>
      <c r="B108" s="375" t="s">
        <v>568</v>
      </c>
      <c r="C108" s="374"/>
      <c r="D108" s="118">
        <v>1</v>
      </c>
      <c r="E108" s="157">
        <v>49236</v>
      </c>
      <c r="F108" s="157">
        <v>49236</v>
      </c>
      <c r="G108" s="157"/>
      <c r="H108" s="157"/>
      <c r="I108"/>
    </row>
    <row r="109" spans="1:9">
      <c r="A109" s="117"/>
      <c r="B109" s="375" t="s">
        <v>569</v>
      </c>
      <c r="C109" s="374"/>
      <c r="D109" s="118"/>
      <c r="E109" s="157"/>
      <c r="F109" s="157"/>
      <c r="G109" s="157"/>
      <c r="H109" s="157"/>
      <c r="I109"/>
    </row>
    <row r="110" spans="1:9">
      <c r="A110" s="117"/>
      <c r="B110" s="375" t="s">
        <v>570</v>
      </c>
      <c r="C110" s="374"/>
      <c r="D110" s="118"/>
      <c r="E110" s="157"/>
      <c r="F110" s="157"/>
      <c r="G110" s="157"/>
      <c r="H110" s="157"/>
      <c r="I110"/>
    </row>
    <row r="111" spans="1:9">
      <c r="A111" s="117"/>
      <c r="B111" s="375" t="s">
        <v>573</v>
      </c>
      <c r="C111" s="374"/>
      <c r="D111" s="118"/>
      <c r="E111" s="157"/>
      <c r="F111" s="157"/>
      <c r="G111" s="157"/>
      <c r="H111" s="157"/>
      <c r="I111"/>
    </row>
    <row r="112" spans="1:9">
      <c r="A112" s="117"/>
      <c r="B112" s="375" t="s">
        <v>571</v>
      </c>
      <c r="C112" s="374"/>
      <c r="D112" s="118"/>
      <c r="E112" s="157"/>
      <c r="F112" s="157"/>
      <c r="G112" s="157"/>
      <c r="H112" s="157"/>
      <c r="I112"/>
    </row>
    <row r="113" spans="1:11">
      <c r="A113" s="117"/>
      <c r="B113" s="375" t="s">
        <v>574</v>
      </c>
      <c r="C113" s="374"/>
      <c r="D113" s="118"/>
      <c r="E113" s="157"/>
      <c r="F113" s="157"/>
      <c r="G113" s="157"/>
      <c r="H113" s="157"/>
      <c r="I113"/>
    </row>
    <row r="114" spans="1:11">
      <c r="A114" s="117"/>
      <c r="B114" s="375" t="s">
        <v>572</v>
      </c>
      <c r="C114" s="374"/>
      <c r="D114" s="118"/>
      <c r="E114" s="157"/>
      <c r="F114" s="157"/>
      <c r="G114" s="157"/>
      <c r="H114" s="157"/>
      <c r="I114"/>
    </row>
    <row r="115" spans="1:11">
      <c r="B115" s="376" t="s">
        <v>578</v>
      </c>
      <c r="C115" s="374"/>
      <c r="D115" s="118"/>
      <c r="E115" s="157"/>
      <c r="F115" s="157"/>
      <c r="G115" s="157"/>
      <c r="H115" s="157"/>
      <c r="I115"/>
    </row>
    <row r="116" spans="1:11">
      <c r="A116" s="117">
        <v>6</v>
      </c>
      <c r="B116" s="375" t="s">
        <v>577</v>
      </c>
      <c r="C116" s="374"/>
      <c r="D116" s="118"/>
      <c r="E116" s="157"/>
      <c r="F116" s="157"/>
      <c r="G116" s="157"/>
      <c r="H116" s="157"/>
      <c r="I116"/>
    </row>
    <row r="117" spans="1:11">
      <c r="A117" s="117"/>
      <c r="B117" s="375" t="s">
        <v>579</v>
      </c>
      <c r="C117" s="374"/>
      <c r="D117" s="118">
        <v>1</v>
      </c>
      <c r="E117" s="157">
        <v>3000</v>
      </c>
      <c r="F117" s="157">
        <v>3000</v>
      </c>
      <c r="G117" s="157"/>
      <c r="H117" s="157"/>
      <c r="I117"/>
    </row>
    <row r="118" spans="1:11" s="156" customFormat="1">
      <c r="A118" s="154"/>
      <c r="B118" s="681" t="s">
        <v>215</v>
      </c>
      <c r="C118" s="682"/>
      <c r="D118" s="155"/>
      <c r="E118" s="157"/>
      <c r="F118" s="157">
        <f>ROUND(SUM(F97:F111),0)</f>
        <v>74036</v>
      </c>
      <c r="G118" s="157">
        <f>ROUND(SUM(G97:G97),0)</f>
        <v>17000</v>
      </c>
      <c r="H118" s="157">
        <f>ROUND(SUM(H97:H97),0)</f>
        <v>17000</v>
      </c>
      <c r="I118" s="159"/>
      <c r="J118" s="159"/>
      <c r="K118" s="159"/>
    </row>
    <row r="120" spans="1:11" s="66" customFormat="1" ht="14.25">
      <c r="A120" s="66" t="s">
        <v>262</v>
      </c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</row>
    <row r="122" spans="1:11" ht="24.75">
      <c r="A122" s="119" t="s">
        <v>217</v>
      </c>
      <c r="B122" s="670" t="s">
        <v>236</v>
      </c>
      <c r="C122" s="671"/>
      <c r="D122" s="113" t="s">
        <v>255</v>
      </c>
      <c r="E122" s="113" t="s">
        <v>260</v>
      </c>
      <c r="F122" s="113" t="s">
        <v>299</v>
      </c>
      <c r="G122" s="113" t="s">
        <v>300</v>
      </c>
      <c r="H122" s="113" t="s">
        <v>301</v>
      </c>
    </row>
    <row r="123" spans="1:11">
      <c r="A123" s="115">
        <v>1</v>
      </c>
      <c r="B123" s="672">
        <v>2</v>
      </c>
      <c r="C123" s="673"/>
      <c r="D123" s="115">
        <v>3</v>
      </c>
      <c r="E123" s="115">
        <v>4</v>
      </c>
      <c r="F123" s="115">
        <v>5</v>
      </c>
      <c r="G123" s="115">
        <v>6</v>
      </c>
      <c r="H123" s="115">
        <v>7</v>
      </c>
    </row>
    <row r="124" spans="1:11" ht="29.25" customHeight="1">
      <c r="A124" s="117">
        <v>2</v>
      </c>
      <c r="B124" s="690" t="s">
        <v>527</v>
      </c>
      <c r="C124" s="691"/>
      <c r="D124" s="118">
        <v>1</v>
      </c>
      <c r="E124" s="157">
        <v>50000</v>
      </c>
      <c r="F124" s="157">
        <v>50000</v>
      </c>
      <c r="G124" s="157">
        <v>50000</v>
      </c>
      <c r="H124" s="157">
        <v>50000</v>
      </c>
    </row>
    <row r="125" spans="1:11" ht="20.25" customHeight="1">
      <c r="A125" s="117"/>
      <c r="B125" s="341" t="s">
        <v>528</v>
      </c>
      <c r="C125" s="341"/>
      <c r="D125" s="118"/>
      <c r="E125" s="157"/>
      <c r="F125" s="157"/>
      <c r="G125" s="157"/>
      <c r="H125" s="157"/>
    </row>
    <row r="126" spans="1:11" ht="33" customHeight="1">
      <c r="A126" s="117">
        <v>3</v>
      </c>
      <c r="B126" s="690" t="s">
        <v>529</v>
      </c>
      <c r="C126" s="691"/>
      <c r="D126" s="118"/>
      <c r="E126" s="157"/>
      <c r="F126" s="157"/>
      <c r="G126" s="157"/>
      <c r="H126" s="157"/>
    </row>
    <row r="127" spans="1:11" ht="33" customHeight="1">
      <c r="A127" s="117"/>
      <c r="B127" s="382" t="s">
        <v>586</v>
      </c>
      <c r="C127" s="383"/>
      <c r="D127" s="118"/>
      <c r="E127" s="157"/>
      <c r="F127" s="157"/>
      <c r="G127" s="157"/>
      <c r="H127" s="157"/>
    </row>
    <row r="128" spans="1:11" ht="28.5" customHeight="1">
      <c r="A128" s="117"/>
      <c r="B128" s="688" t="s">
        <v>587</v>
      </c>
      <c r="C128" s="689"/>
      <c r="D128" s="118">
        <v>1</v>
      </c>
      <c r="E128" s="157">
        <v>24141.32</v>
      </c>
      <c r="F128" s="157">
        <v>24141.32</v>
      </c>
      <c r="G128" s="157">
        <v>24141.32</v>
      </c>
      <c r="H128" s="157">
        <v>24141.32</v>
      </c>
    </row>
    <row r="129" spans="1:21" ht="36" customHeight="1">
      <c r="A129" s="117"/>
      <c r="B129" s="688" t="s">
        <v>588</v>
      </c>
      <c r="C129" s="689"/>
      <c r="D129" s="118">
        <v>1</v>
      </c>
      <c r="E129" s="157">
        <v>45858.68</v>
      </c>
      <c r="F129" s="157">
        <v>45858.68</v>
      </c>
      <c r="G129" s="157">
        <v>45858.68</v>
      </c>
      <c r="H129" s="157">
        <v>45858.68</v>
      </c>
    </row>
    <row r="130" spans="1:21" ht="29.25" customHeight="1">
      <c r="A130" s="117"/>
      <c r="B130" s="688" t="s">
        <v>589</v>
      </c>
      <c r="C130" s="689"/>
      <c r="D130" s="118"/>
      <c r="E130" s="157"/>
      <c r="F130" s="157"/>
      <c r="G130" s="157"/>
      <c r="H130" s="157"/>
    </row>
    <row r="131" spans="1:21" ht="29.25" customHeight="1">
      <c r="A131" s="117"/>
      <c r="B131" s="384" t="s">
        <v>590</v>
      </c>
      <c r="C131" s="385"/>
      <c r="D131" s="118"/>
      <c r="E131" s="157"/>
      <c r="F131" s="157"/>
      <c r="G131" s="157"/>
      <c r="H131" s="157"/>
    </row>
    <row r="132" spans="1:21" ht="29.25" customHeight="1">
      <c r="A132" s="117"/>
      <c r="B132" s="384" t="s">
        <v>591</v>
      </c>
      <c r="C132" s="385"/>
      <c r="D132" s="118"/>
      <c r="E132" s="157"/>
      <c r="F132" s="157"/>
      <c r="G132" s="157"/>
      <c r="H132" s="157"/>
    </row>
    <row r="133" spans="1:21">
      <c r="A133" s="121"/>
      <c r="B133" s="699" t="s">
        <v>530</v>
      </c>
      <c r="C133" s="700"/>
      <c r="D133" s="118"/>
      <c r="E133" s="118"/>
      <c r="F133" s="118"/>
      <c r="G133" s="118"/>
      <c r="H133" s="118"/>
    </row>
    <row r="134" spans="1:21" ht="29.25" customHeight="1">
      <c r="A134" s="117">
        <v>4</v>
      </c>
      <c r="B134" s="690" t="s">
        <v>531</v>
      </c>
      <c r="C134" s="691"/>
      <c r="D134" s="118">
        <v>1</v>
      </c>
      <c r="E134" s="157">
        <v>81809.06</v>
      </c>
      <c r="F134" s="157">
        <v>81809.06</v>
      </c>
      <c r="G134" s="157">
        <v>171330.36</v>
      </c>
      <c r="H134" s="157">
        <v>171330.36</v>
      </c>
    </row>
    <row r="135" spans="1:21">
      <c r="A135" s="121"/>
      <c r="B135" s="688" t="s">
        <v>582</v>
      </c>
      <c r="C135" s="689"/>
      <c r="D135" s="118"/>
      <c r="E135" s="118"/>
      <c r="F135" s="118"/>
      <c r="G135" s="118"/>
      <c r="H135" s="118"/>
    </row>
    <row r="136" spans="1:21" s="156" customFormat="1">
      <c r="A136" s="154"/>
      <c r="B136" s="681"/>
      <c r="C136" s="682"/>
      <c r="D136" s="155"/>
      <c r="E136" s="155"/>
      <c r="F136" s="320">
        <f>SUM(F124:F133)</f>
        <v>120000</v>
      </c>
      <c r="G136" s="320">
        <f>SUM(G124:G133)</f>
        <v>120000</v>
      </c>
      <c r="H136" s="320">
        <f>SUM(H124:H133)</f>
        <v>120000</v>
      </c>
      <c r="I136" s="159"/>
      <c r="J136" s="159"/>
      <c r="K136" s="159"/>
    </row>
    <row r="137" spans="1:21" ht="15.75" thickBot="1"/>
    <row r="138" spans="1:21" ht="15.75" thickBot="1">
      <c r="A138" s="122"/>
      <c r="B138" s="694" t="s">
        <v>263</v>
      </c>
      <c r="C138" s="695"/>
      <c r="D138" s="695"/>
      <c r="E138" s="696"/>
      <c r="F138" s="161">
        <f>I21+F35+G67+F85+F118+F124+F128+F129+F130+F134+F90+0.01</f>
        <v>1220800.004761256</v>
      </c>
      <c r="G138" s="161">
        <f>J21+G35+G67+G91+G118+G124+G128+G129+G130+G134</f>
        <v>1220799.9968079999</v>
      </c>
      <c r="H138" s="161">
        <f>K21+H35+I67+H91+H118+H124+H128+H129+H130+H134</f>
        <v>1220799.9977600002</v>
      </c>
    </row>
    <row r="140" spans="1:21" s="335" customFormat="1" ht="20.25" customHeight="1">
      <c r="A140" s="697" t="s">
        <v>179</v>
      </c>
      <c r="B140" s="697"/>
      <c r="C140" s="697"/>
      <c r="D140" s="328" t="s">
        <v>401</v>
      </c>
      <c r="E140" s="123"/>
      <c r="F140" s="328"/>
      <c r="G140" s="123"/>
      <c r="H140" s="328" t="s">
        <v>505</v>
      </c>
      <c r="I140" s="328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4"/>
    </row>
    <row r="141" spans="1:21" s="335" customFormat="1" ht="20.25" customHeight="1">
      <c r="A141" s="697" t="s">
        <v>180</v>
      </c>
      <c r="B141" s="697"/>
      <c r="C141" s="697"/>
      <c r="D141" s="125" t="s">
        <v>264</v>
      </c>
      <c r="E141" s="126"/>
      <c r="F141" s="125" t="s">
        <v>265</v>
      </c>
      <c r="G141" s="126"/>
      <c r="H141" s="337" t="s">
        <v>266</v>
      </c>
      <c r="I141" s="337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4"/>
    </row>
    <row r="142" spans="1:21" s="335" customFormat="1">
      <c r="A142" s="336"/>
    </row>
    <row r="143" spans="1:21" s="335" customFormat="1" ht="30" customHeight="1">
      <c r="A143" s="698" t="s">
        <v>182</v>
      </c>
      <c r="B143" s="698"/>
      <c r="C143"/>
      <c r="D143" s="328" t="s">
        <v>515</v>
      </c>
      <c r="E143"/>
      <c r="F143" s="328"/>
      <c r="G143"/>
      <c r="H143" s="328" t="s">
        <v>519</v>
      </c>
      <c r="I143" s="328"/>
      <c r="J143" s="658" t="s">
        <v>488</v>
      </c>
      <c r="K143" s="658"/>
    </row>
    <row r="144" spans="1:21" s="335" customFormat="1">
      <c r="C144"/>
      <c r="D144" s="125" t="s">
        <v>267</v>
      </c>
      <c r="E144"/>
      <c r="F144" s="125" t="s">
        <v>265</v>
      </c>
      <c r="G144"/>
      <c r="H144" s="337" t="s">
        <v>266</v>
      </c>
      <c r="I144" s="337"/>
      <c r="J144" s="646" t="s">
        <v>183</v>
      </c>
      <c r="K144" s="646"/>
    </row>
    <row r="145" spans="1:10" s="335" customFormat="1">
      <c r="G145"/>
      <c r="H145"/>
      <c r="I145"/>
      <c r="J145"/>
    </row>
    <row r="146" spans="1:10" s="335" customFormat="1">
      <c r="A146" s="698" t="s">
        <v>584</v>
      </c>
      <c r="B146" s="698"/>
      <c r="C146" s="698"/>
      <c r="D146" s="698"/>
      <c r="E146" s="698"/>
    </row>
  </sheetData>
  <mergeCells count="78">
    <mergeCell ref="J143:K143"/>
    <mergeCell ref="J144:K144"/>
    <mergeCell ref="B133:C133"/>
    <mergeCell ref="B136:C136"/>
    <mergeCell ref="B138:E138"/>
    <mergeCell ref="A140:C140"/>
    <mergeCell ref="A141:C141"/>
    <mergeCell ref="A143:B143"/>
    <mergeCell ref="B129:C129"/>
    <mergeCell ref="B130:C130"/>
    <mergeCell ref="B134:C134"/>
    <mergeCell ref="B135:C135"/>
    <mergeCell ref="A146:E146"/>
    <mergeCell ref="B128:C128"/>
    <mergeCell ref="B118:C118"/>
    <mergeCell ref="B122:C122"/>
    <mergeCell ref="B123:C123"/>
    <mergeCell ref="B95:C95"/>
    <mergeCell ref="B96:C96"/>
    <mergeCell ref="B126:C126"/>
    <mergeCell ref="B79:C79"/>
    <mergeCell ref="B83:C83"/>
    <mergeCell ref="B84:C84"/>
    <mergeCell ref="B91:C91"/>
    <mergeCell ref="B124:C124"/>
    <mergeCell ref="B74:C74"/>
    <mergeCell ref="B75:C75"/>
    <mergeCell ref="B76:C76"/>
    <mergeCell ref="B77:C77"/>
    <mergeCell ref="B78:C78"/>
    <mergeCell ref="B55:C55"/>
    <mergeCell ref="B56:C56"/>
    <mergeCell ref="B63:C63"/>
    <mergeCell ref="B62:C62"/>
    <mergeCell ref="B73:C73"/>
    <mergeCell ref="B64:C64"/>
    <mergeCell ref="B66:C66"/>
    <mergeCell ref="B67:C67"/>
    <mergeCell ref="B71:C71"/>
    <mergeCell ref="B72:C72"/>
    <mergeCell ref="B65:C65"/>
    <mergeCell ref="B51:C51"/>
    <mergeCell ref="B52:C52"/>
    <mergeCell ref="B53:C53"/>
    <mergeCell ref="B54:C54"/>
    <mergeCell ref="B41:C41"/>
    <mergeCell ref="B42:C42"/>
    <mergeCell ref="B43:C43"/>
    <mergeCell ref="B44:C44"/>
    <mergeCell ref="A46:H46"/>
    <mergeCell ref="B48:C48"/>
    <mergeCell ref="B40:C40"/>
    <mergeCell ref="B34:D34"/>
    <mergeCell ref="B35:D35"/>
    <mergeCell ref="B49:C49"/>
    <mergeCell ref="B50:C50"/>
    <mergeCell ref="B33:D33"/>
    <mergeCell ref="J13:J15"/>
    <mergeCell ref="K13:K15"/>
    <mergeCell ref="D14:D15"/>
    <mergeCell ref="A24:H24"/>
    <mergeCell ref="B26:D26"/>
    <mergeCell ref="B27:D27"/>
    <mergeCell ref="B28:D28"/>
    <mergeCell ref="B29:D29"/>
    <mergeCell ref="B30:D30"/>
    <mergeCell ref="B31:D31"/>
    <mergeCell ref="B32:D32"/>
    <mergeCell ref="A1:K1"/>
    <mergeCell ref="A4:K4"/>
    <mergeCell ref="A6:B6"/>
    <mergeCell ref="A8:C8"/>
    <mergeCell ref="A13:A15"/>
    <mergeCell ref="B13:B15"/>
    <mergeCell ref="C13:C15"/>
    <mergeCell ref="D13:G13"/>
    <mergeCell ref="H13:H15"/>
    <mergeCell ref="I13:I15"/>
  </mergeCells>
  <pageMargins left="0.7" right="0.7" top="0.75" bottom="0.75" header="0.3" footer="0.3"/>
  <pageSetup paperSize="9" scale="58" orientation="portrait" verticalDpi="200" r:id="rId1"/>
  <rowBreaks count="1" manualBreakCount="1">
    <brk id="100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U173"/>
  <sheetViews>
    <sheetView view="pageBreakPreview" zoomScaleSheetLayoutView="100" workbookViewId="0">
      <selection activeCell="J156" sqref="J156"/>
    </sheetView>
  </sheetViews>
  <sheetFormatPr defaultColWidth="9.140625" defaultRowHeight="15"/>
  <cols>
    <col min="1" max="1" width="5.42578125" style="18" customWidth="1"/>
    <col min="2" max="2" width="17.7109375" style="109" customWidth="1"/>
    <col min="3" max="3" width="22.28515625" style="109" customWidth="1"/>
    <col min="4" max="4" width="6.28515625" style="109" customWidth="1"/>
    <col min="5" max="7" width="14" style="109" customWidth="1"/>
    <col min="8" max="8" width="15.140625" style="109" customWidth="1"/>
    <col min="9" max="9" width="15.42578125" style="109" customWidth="1"/>
    <col min="10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>
      <c r="A6" s="482" t="s">
        <v>203</v>
      </c>
      <c r="B6" s="482"/>
      <c r="C6" s="344" t="s">
        <v>189</v>
      </c>
    </row>
    <row r="8" spans="1:11">
      <c r="A8" s="482" t="s">
        <v>204</v>
      </c>
      <c r="B8" s="482"/>
      <c r="C8" s="482"/>
      <c r="D8" s="278" t="s">
        <v>521</v>
      </c>
    </row>
    <row r="9" spans="1:11">
      <c r="A9" s="345"/>
      <c r="B9" s="345"/>
      <c r="C9" s="345"/>
    </row>
    <row r="10" spans="1:11" hidden="1">
      <c r="A10" s="110" t="s">
        <v>205</v>
      </c>
      <c r="B10" s="111"/>
      <c r="C10" s="111"/>
      <c r="D10" s="111"/>
    </row>
    <row r="11" spans="1:11" hidden="1">
      <c r="A11" s="110" t="s">
        <v>206</v>
      </c>
      <c r="B11" s="111"/>
      <c r="C11" s="111"/>
      <c r="D11" s="111"/>
    </row>
    <row r="12" spans="1:11" hidden="1"/>
    <row r="13" spans="1:11" s="112" customFormat="1" ht="12" hidden="1">
      <c r="A13" s="669"/>
      <c r="B13" s="668" t="s">
        <v>207</v>
      </c>
      <c r="C13" s="668" t="s">
        <v>208</v>
      </c>
      <c r="D13" s="668" t="s">
        <v>209</v>
      </c>
      <c r="E13" s="668"/>
      <c r="F13" s="668"/>
      <c r="G13" s="668"/>
      <c r="H13" s="668" t="s">
        <v>210</v>
      </c>
      <c r="I13" s="668" t="s">
        <v>305</v>
      </c>
      <c r="J13" s="668" t="s">
        <v>306</v>
      </c>
      <c r="K13" s="668" t="s">
        <v>307</v>
      </c>
    </row>
    <row r="14" spans="1:11" s="112" customFormat="1" ht="12" hidden="1">
      <c r="A14" s="669"/>
      <c r="B14" s="668"/>
      <c r="C14" s="668"/>
      <c r="D14" s="669" t="s">
        <v>211</v>
      </c>
      <c r="E14" s="354" t="s">
        <v>29</v>
      </c>
      <c r="F14" s="354"/>
      <c r="G14" s="354"/>
      <c r="H14" s="668"/>
      <c r="I14" s="668"/>
      <c r="J14" s="668"/>
      <c r="K14" s="668"/>
    </row>
    <row r="15" spans="1:11" s="114" customFormat="1" ht="36" hidden="1">
      <c r="A15" s="669"/>
      <c r="B15" s="668"/>
      <c r="C15" s="668"/>
      <c r="D15" s="669"/>
      <c r="E15" s="113" t="s">
        <v>212</v>
      </c>
      <c r="F15" s="113" t="s">
        <v>213</v>
      </c>
      <c r="G15" s="113" t="s">
        <v>214</v>
      </c>
      <c r="H15" s="668"/>
      <c r="I15" s="668"/>
      <c r="J15" s="668"/>
      <c r="K15" s="668"/>
    </row>
    <row r="16" spans="1:11" s="116" customFormat="1" hidden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 hidden="1">
      <c r="A17" s="115"/>
      <c r="B17" s="115" t="s">
        <v>364</v>
      </c>
      <c r="C17" s="115"/>
      <c r="D17" s="322"/>
      <c r="E17" s="322"/>
      <c r="F17" s="322"/>
      <c r="G17" s="322"/>
      <c r="H17" s="322"/>
      <c r="I17" s="322"/>
      <c r="J17" s="322"/>
      <c r="K17" s="322"/>
    </row>
    <row r="18" spans="1:11" ht="24.75" hidden="1">
      <c r="A18" s="117">
        <v>1</v>
      </c>
      <c r="B18" s="113" t="s">
        <v>302</v>
      </c>
      <c r="C18" s="118">
        <v>1</v>
      </c>
      <c r="D18" s="157">
        <f>E18+F18+G18</f>
        <v>0</v>
      </c>
      <c r="E18" s="157"/>
      <c r="F18" s="157"/>
      <c r="G18" s="157">
        <v>0</v>
      </c>
      <c r="H18" s="157"/>
      <c r="I18" s="157">
        <f>C18*D18+H18</f>
        <v>0</v>
      </c>
      <c r="J18" s="157">
        <v>0</v>
      </c>
      <c r="K18" s="157">
        <v>0</v>
      </c>
    </row>
    <row r="19" spans="1:11" hidden="1">
      <c r="A19" s="117">
        <v>2</v>
      </c>
      <c r="B19" s="113" t="s">
        <v>303</v>
      </c>
      <c r="C19" s="118"/>
      <c r="D19" s="157">
        <f t="shared" ref="D19" si="0">E19+F19+G19</f>
        <v>0</v>
      </c>
      <c r="E19" s="157"/>
      <c r="F19" s="157"/>
      <c r="G19" s="157"/>
      <c r="H19" s="157"/>
      <c r="I19" s="157">
        <f t="shared" ref="I19" si="1">C19*D19+H19</f>
        <v>0</v>
      </c>
      <c r="J19" s="157"/>
      <c r="K19" s="157"/>
    </row>
    <row r="20" spans="1:11" hidden="1">
      <c r="A20" s="117">
        <v>3</v>
      </c>
      <c r="B20" s="113" t="s">
        <v>304</v>
      </c>
      <c r="C20" s="118">
        <v>0</v>
      </c>
      <c r="D20" s="157">
        <f>E20+F20+G20</f>
        <v>0</v>
      </c>
      <c r="E20" s="157"/>
      <c r="F20" s="157"/>
      <c r="G20" s="157"/>
      <c r="H20" s="157"/>
      <c r="I20" s="157">
        <f>ROUND((C20*(D20+H20))*8,0)</f>
        <v>0</v>
      </c>
      <c r="J20" s="157">
        <f>I20*1.03</f>
        <v>0</v>
      </c>
      <c r="K20" s="157">
        <f>J20*1.03</f>
        <v>0</v>
      </c>
    </row>
    <row r="21" spans="1:11" s="116" customFormat="1" hidden="1">
      <c r="A21" s="115"/>
      <c r="B21" s="115" t="s">
        <v>507</v>
      </c>
      <c r="C21" s="115"/>
      <c r="D21" s="322"/>
      <c r="E21" s="322"/>
      <c r="F21" s="322"/>
      <c r="G21" s="322"/>
      <c r="H21" s="322"/>
      <c r="I21" s="322"/>
      <c r="J21" s="157">
        <f t="shared" ref="J21:K28" si="2">I21*1.03</f>
        <v>0</v>
      </c>
      <c r="K21" s="157">
        <f t="shared" si="2"/>
        <v>0</v>
      </c>
    </row>
    <row r="22" spans="1:11" ht="24.75" hidden="1">
      <c r="A22" s="117">
        <v>1</v>
      </c>
      <c r="B22" s="113" t="s">
        <v>302</v>
      </c>
      <c r="C22" s="118"/>
      <c r="D22" s="157">
        <f>E22+F22+G22</f>
        <v>0</v>
      </c>
      <c r="E22" s="157"/>
      <c r="F22" s="157"/>
      <c r="G22" s="157"/>
      <c r="H22" s="157"/>
      <c r="I22" s="157">
        <f>C22*D22+H22</f>
        <v>0</v>
      </c>
      <c r="J22" s="157">
        <f t="shared" si="2"/>
        <v>0</v>
      </c>
      <c r="K22" s="157">
        <f t="shared" si="2"/>
        <v>0</v>
      </c>
    </row>
    <row r="23" spans="1:11" hidden="1">
      <c r="A23" s="117">
        <v>2</v>
      </c>
      <c r="B23" s="113" t="s">
        <v>303</v>
      </c>
      <c r="C23" s="118"/>
      <c r="D23" s="157">
        <f t="shared" ref="D23:D24" si="3">E23+F23+G23</f>
        <v>0</v>
      </c>
      <c r="E23" s="157"/>
      <c r="F23" s="157"/>
      <c r="G23" s="157"/>
      <c r="H23" s="157"/>
      <c r="I23" s="157">
        <f>C23*D23+H23</f>
        <v>0</v>
      </c>
      <c r="J23" s="157">
        <f t="shared" si="2"/>
        <v>0</v>
      </c>
      <c r="K23" s="157">
        <f t="shared" si="2"/>
        <v>0</v>
      </c>
    </row>
    <row r="24" spans="1:11" hidden="1">
      <c r="A24" s="117">
        <v>3</v>
      </c>
      <c r="B24" s="113" t="s">
        <v>304</v>
      </c>
      <c r="C24" s="118">
        <v>0</v>
      </c>
      <c r="D24" s="157">
        <f t="shared" si="3"/>
        <v>0</v>
      </c>
      <c r="E24" s="157"/>
      <c r="F24" s="157"/>
      <c r="G24" s="157"/>
      <c r="H24" s="157"/>
      <c r="I24" s="157">
        <f>ROUND((C24*(D24+H24))*1,0)</f>
        <v>0</v>
      </c>
      <c r="J24" s="157">
        <f t="shared" si="2"/>
        <v>0</v>
      </c>
      <c r="K24" s="157">
        <f t="shared" si="2"/>
        <v>0</v>
      </c>
    </row>
    <row r="25" spans="1:11" s="116" customFormat="1" hidden="1">
      <c r="A25" s="115"/>
      <c r="B25" s="115" t="s">
        <v>510</v>
      </c>
      <c r="C25" s="115"/>
      <c r="D25" s="322"/>
      <c r="E25" s="322"/>
      <c r="F25" s="322"/>
      <c r="G25" s="322"/>
      <c r="H25" s="322"/>
      <c r="I25" s="322"/>
      <c r="J25" s="157">
        <f t="shared" si="2"/>
        <v>0</v>
      </c>
      <c r="K25" s="157">
        <f t="shared" si="2"/>
        <v>0</v>
      </c>
    </row>
    <row r="26" spans="1:11" ht="24.75" hidden="1">
      <c r="A26" s="117">
        <v>1</v>
      </c>
      <c r="B26" s="113" t="s">
        <v>302</v>
      </c>
      <c r="C26" s="118"/>
      <c r="D26" s="157">
        <f>E26+F26+G26</f>
        <v>0</v>
      </c>
      <c r="E26" s="157"/>
      <c r="F26" s="157"/>
      <c r="G26" s="157"/>
      <c r="H26" s="157"/>
      <c r="I26" s="157">
        <f>C26*D26+H26</f>
        <v>0</v>
      </c>
      <c r="J26" s="157">
        <f t="shared" si="2"/>
        <v>0</v>
      </c>
      <c r="K26" s="157">
        <f t="shared" si="2"/>
        <v>0</v>
      </c>
    </row>
    <row r="27" spans="1:11" hidden="1">
      <c r="A27" s="117">
        <v>2</v>
      </c>
      <c r="B27" s="113" t="s">
        <v>303</v>
      </c>
      <c r="C27" s="118"/>
      <c r="D27" s="157">
        <f t="shared" ref="D27:D28" si="4">E27+F27+G27</f>
        <v>0</v>
      </c>
      <c r="E27" s="157"/>
      <c r="F27" s="157"/>
      <c r="G27" s="157"/>
      <c r="H27" s="157"/>
      <c r="I27" s="157">
        <f>C27*D27+H27</f>
        <v>0</v>
      </c>
      <c r="J27" s="157">
        <f t="shared" si="2"/>
        <v>0</v>
      </c>
      <c r="K27" s="157">
        <f t="shared" si="2"/>
        <v>0</v>
      </c>
    </row>
    <row r="28" spans="1:11" hidden="1">
      <c r="A28" s="117">
        <v>3</v>
      </c>
      <c r="B28" s="113" t="s">
        <v>304</v>
      </c>
      <c r="C28" s="118">
        <v>0</v>
      </c>
      <c r="D28" s="157">
        <f t="shared" si="4"/>
        <v>0</v>
      </c>
      <c r="E28" s="157"/>
      <c r="F28" s="157"/>
      <c r="G28" s="157"/>
      <c r="H28" s="157"/>
      <c r="I28" s="157">
        <f>ROUND((C28*(D28+H28))*3,0)</f>
        <v>0</v>
      </c>
      <c r="J28" s="157">
        <f t="shared" si="2"/>
        <v>0</v>
      </c>
      <c r="K28" s="157">
        <f t="shared" si="2"/>
        <v>0</v>
      </c>
    </row>
    <row r="29" spans="1:11" s="156" customFormat="1" hidden="1">
      <c r="A29" s="154" t="s">
        <v>215</v>
      </c>
      <c r="B29" s="155"/>
      <c r="C29" s="155"/>
      <c r="D29" s="158"/>
      <c r="E29" s="158"/>
      <c r="F29" s="158"/>
      <c r="G29" s="158"/>
      <c r="H29" s="158"/>
      <c r="I29" s="158">
        <f>SUM(I18:I28)</f>
        <v>0</v>
      </c>
      <c r="J29" s="158">
        <f>SUM(J18:J28)</f>
        <v>0</v>
      </c>
      <c r="K29" s="158">
        <f>SUM(K18:K28)</f>
        <v>0</v>
      </c>
    </row>
    <row r="30" spans="1:11" hidden="1"/>
    <row r="31" spans="1:11" s="66" customFormat="1" ht="14.25" hidden="1">
      <c r="A31" s="66" t="s">
        <v>216</v>
      </c>
      <c r="B31" s="111"/>
      <c r="C31" s="111"/>
      <c r="D31" s="111"/>
      <c r="E31" s="111"/>
      <c r="F31" s="111"/>
      <c r="G31" s="111"/>
      <c r="H31" s="111"/>
      <c r="I31" s="339"/>
      <c r="J31" s="111"/>
      <c r="K31" s="111"/>
    </row>
    <row r="32" spans="1:11" hidden="1"/>
    <row r="33" spans="1:11" s="112" customFormat="1" ht="60" hidden="1">
      <c r="A33" s="119" t="s">
        <v>217</v>
      </c>
      <c r="B33" s="113" t="s">
        <v>218</v>
      </c>
      <c r="C33" s="113" t="s">
        <v>219</v>
      </c>
      <c r="D33" s="113" t="s">
        <v>220</v>
      </c>
      <c r="E33" s="113" t="s">
        <v>221</v>
      </c>
      <c r="F33" s="113" t="s">
        <v>222</v>
      </c>
      <c r="G33" s="113" t="s">
        <v>222</v>
      </c>
      <c r="H33" s="113" t="s">
        <v>222</v>
      </c>
      <c r="I33" s="120"/>
      <c r="J33" s="120"/>
      <c r="K33" s="120"/>
    </row>
    <row r="34" spans="1:11" s="116" customFormat="1" hidden="1">
      <c r="A34" s="115">
        <v>1</v>
      </c>
      <c r="B34" s="115">
        <v>2</v>
      </c>
      <c r="C34" s="115">
        <v>3</v>
      </c>
      <c r="D34" s="115">
        <v>4</v>
      </c>
      <c r="E34" s="115">
        <v>5</v>
      </c>
      <c r="F34" s="115">
        <v>6</v>
      </c>
      <c r="G34" s="115">
        <v>7</v>
      </c>
      <c r="H34" s="115">
        <v>8</v>
      </c>
    </row>
    <row r="35" spans="1:11" hidden="1">
      <c r="A35" s="117"/>
      <c r="B35" s="118"/>
      <c r="C35" s="118"/>
      <c r="D35" s="118"/>
      <c r="E35" s="118"/>
      <c r="F35" s="118"/>
      <c r="G35" s="118"/>
      <c r="H35" s="118"/>
    </row>
    <row r="36" spans="1:11" hidden="1">
      <c r="A36" s="117"/>
      <c r="B36" s="118"/>
      <c r="C36" s="118"/>
      <c r="D36" s="118"/>
      <c r="E36" s="118"/>
      <c r="F36" s="118"/>
      <c r="G36" s="118"/>
      <c r="H36" s="118"/>
    </row>
    <row r="37" spans="1:11" hidden="1">
      <c r="A37" s="117"/>
      <c r="B37" s="118"/>
      <c r="C37" s="118"/>
      <c r="D37" s="118"/>
      <c r="E37" s="118"/>
      <c r="F37" s="118"/>
      <c r="G37" s="118"/>
      <c r="H37" s="118"/>
    </row>
    <row r="38" spans="1:11" hidden="1">
      <c r="A38" s="117"/>
      <c r="B38" s="118"/>
      <c r="C38" s="118"/>
      <c r="D38" s="118"/>
      <c r="E38" s="118"/>
      <c r="F38" s="118"/>
      <c r="G38" s="118"/>
      <c r="H38" s="118"/>
    </row>
    <row r="39" spans="1:11" hidden="1">
      <c r="A39" s="117"/>
      <c r="B39" s="118"/>
      <c r="C39" s="118"/>
      <c r="D39" s="118"/>
      <c r="E39" s="118"/>
      <c r="F39" s="118"/>
      <c r="G39" s="118"/>
      <c r="H39" s="118"/>
    </row>
    <row r="40" spans="1:11" hidden="1">
      <c r="A40" s="117"/>
      <c r="B40" s="118"/>
      <c r="C40" s="118"/>
      <c r="D40" s="118"/>
      <c r="E40" s="118"/>
      <c r="F40" s="118"/>
      <c r="G40" s="118"/>
      <c r="H40" s="118"/>
    </row>
    <row r="41" spans="1:11" hidden="1">
      <c r="A41" s="117"/>
      <c r="B41" s="118"/>
      <c r="C41" s="118"/>
      <c r="D41" s="118"/>
      <c r="E41" s="118"/>
      <c r="F41" s="118"/>
      <c r="G41" s="118"/>
      <c r="H41" s="118"/>
    </row>
    <row r="42" spans="1:11" hidden="1"/>
    <row r="43" spans="1:11" hidden="1">
      <c r="A43" s="674" t="s">
        <v>223</v>
      </c>
      <c r="B43" s="674"/>
      <c r="C43" s="674"/>
      <c r="D43" s="674"/>
      <c r="E43" s="674"/>
      <c r="F43" s="674"/>
      <c r="G43" s="674"/>
      <c r="H43" s="674"/>
    </row>
    <row r="44" spans="1:11" hidden="1"/>
    <row r="45" spans="1:11" ht="48.75" hidden="1">
      <c r="A45" s="119" t="s">
        <v>217</v>
      </c>
      <c r="B45" s="670" t="s">
        <v>224</v>
      </c>
      <c r="C45" s="675"/>
      <c r="D45" s="671"/>
      <c r="E45" s="113" t="s">
        <v>225</v>
      </c>
      <c r="F45" s="113" t="s">
        <v>296</v>
      </c>
      <c r="G45" s="113" t="s">
        <v>297</v>
      </c>
      <c r="H45" s="113" t="s">
        <v>298</v>
      </c>
    </row>
    <row r="46" spans="1:11" hidden="1">
      <c r="A46" s="115">
        <v>1</v>
      </c>
      <c r="B46" s="672">
        <v>2</v>
      </c>
      <c r="C46" s="676"/>
      <c r="D46" s="673"/>
      <c r="E46" s="115">
        <v>3</v>
      </c>
      <c r="F46" s="115">
        <v>4</v>
      </c>
      <c r="G46" s="115">
        <v>5</v>
      </c>
      <c r="H46" s="115">
        <v>6</v>
      </c>
    </row>
    <row r="47" spans="1:11" hidden="1">
      <c r="A47" s="117">
        <v>1</v>
      </c>
      <c r="B47" s="677" t="s">
        <v>226</v>
      </c>
      <c r="C47" s="678"/>
      <c r="D47" s="679"/>
      <c r="E47" s="157"/>
      <c r="F47" s="157">
        <f>F49</f>
        <v>0</v>
      </c>
      <c r="G47" s="157">
        <f>G49</f>
        <v>0</v>
      </c>
      <c r="H47" s="157">
        <f t="shared" ref="H47" si="5">H49</f>
        <v>0</v>
      </c>
    </row>
    <row r="48" spans="1:11" hidden="1">
      <c r="A48" s="117"/>
      <c r="B48" s="677" t="s">
        <v>29</v>
      </c>
      <c r="C48" s="678"/>
      <c r="D48" s="679"/>
      <c r="E48" s="157"/>
      <c r="F48" s="157"/>
      <c r="G48" s="157"/>
      <c r="H48" s="157"/>
    </row>
    <row r="49" spans="1:11" hidden="1">
      <c r="A49" s="121"/>
      <c r="B49" s="677" t="s">
        <v>227</v>
      </c>
      <c r="C49" s="678"/>
      <c r="D49" s="679"/>
      <c r="E49" s="157">
        <f>I29</f>
        <v>0</v>
      </c>
      <c r="F49" s="157">
        <f>E49*0.22</f>
        <v>0</v>
      </c>
      <c r="G49" s="157">
        <f>(J29+G61)*0.22</f>
        <v>0</v>
      </c>
      <c r="H49" s="157">
        <f>(K29+H61)*0.22</f>
        <v>0</v>
      </c>
    </row>
    <row r="50" spans="1:11" hidden="1">
      <c r="A50" s="117">
        <v>2</v>
      </c>
      <c r="B50" s="677" t="s">
        <v>228</v>
      </c>
      <c r="C50" s="678"/>
      <c r="D50" s="679"/>
      <c r="E50" s="157"/>
      <c r="F50" s="157">
        <f>F51+F52</f>
        <v>0</v>
      </c>
      <c r="G50" s="157">
        <f>G51+G52</f>
        <v>0</v>
      </c>
      <c r="H50" s="157">
        <f t="shared" ref="H50" si="6">H51+H52</f>
        <v>0</v>
      </c>
    </row>
    <row r="51" spans="1:11" hidden="1">
      <c r="A51" s="117"/>
      <c r="B51" s="677" t="s">
        <v>229</v>
      </c>
      <c r="C51" s="678"/>
      <c r="D51" s="679"/>
      <c r="E51" s="157">
        <f>E49</f>
        <v>0</v>
      </c>
      <c r="F51" s="157">
        <f>E51*0.029</f>
        <v>0</v>
      </c>
      <c r="G51" s="157">
        <f>(J29+G61)*0.029</f>
        <v>0</v>
      </c>
      <c r="H51" s="157">
        <f>(K29+H61)*0.029</f>
        <v>0</v>
      </c>
    </row>
    <row r="52" spans="1:11" hidden="1">
      <c r="A52" s="117"/>
      <c r="B52" s="677" t="s">
        <v>230</v>
      </c>
      <c r="C52" s="678"/>
      <c r="D52" s="679"/>
      <c r="E52" s="157">
        <f>E51</f>
        <v>0</v>
      </c>
      <c r="F52" s="157">
        <f>E52*0.002</f>
        <v>0</v>
      </c>
      <c r="G52" s="157">
        <f>(J29+G61)*0.002</f>
        <v>0</v>
      </c>
      <c r="H52" s="157">
        <f>(K29+H61)*0.002</f>
        <v>0</v>
      </c>
    </row>
    <row r="53" spans="1:11" hidden="1">
      <c r="A53" s="117">
        <v>3</v>
      </c>
      <c r="B53" s="677" t="s">
        <v>231</v>
      </c>
      <c r="C53" s="678"/>
      <c r="D53" s="679"/>
      <c r="E53" s="157">
        <f>E52</f>
        <v>0</v>
      </c>
      <c r="F53" s="157">
        <f>E53*0.051</f>
        <v>0</v>
      </c>
      <c r="G53" s="157">
        <f>(J29+G61)*0.051</f>
        <v>0</v>
      </c>
      <c r="H53" s="157">
        <f>(K29+H61)*0.051</f>
        <v>0</v>
      </c>
    </row>
    <row r="54" spans="1:11" s="156" customFormat="1" hidden="1">
      <c r="A54" s="154"/>
      <c r="B54" s="680" t="s">
        <v>215</v>
      </c>
      <c r="C54" s="680"/>
      <c r="D54" s="680"/>
      <c r="E54" s="158"/>
      <c r="F54" s="158">
        <f>F47+F50+F53</f>
        <v>0</v>
      </c>
      <c r="G54" s="158">
        <f t="shared" ref="G54:H54" si="7">G47+G50+G53</f>
        <v>0</v>
      </c>
      <c r="H54" s="158">
        <f t="shared" si="7"/>
        <v>0</v>
      </c>
      <c r="I54" s="159"/>
      <c r="J54" s="159"/>
      <c r="K54" s="159"/>
    </row>
    <row r="55" spans="1:11" hidden="1"/>
    <row r="56" spans="1:11" s="66" customFormat="1" ht="14.25" hidden="1">
      <c r="A56" s="66" t="s">
        <v>232</v>
      </c>
      <c r="B56" s="111"/>
      <c r="C56" s="111"/>
      <c r="D56" s="111"/>
      <c r="E56" s="111"/>
      <c r="F56" s="111"/>
      <c r="G56" s="111"/>
      <c r="H56" s="111"/>
      <c r="I56" s="111"/>
      <c r="J56" s="111"/>
      <c r="K56" s="111"/>
    </row>
    <row r="57" spans="1:11" hidden="1"/>
    <row r="58" spans="1:11" ht="48.75" hidden="1">
      <c r="A58" s="119" t="s">
        <v>217</v>
      </c>
      <c r="B58" s="670" t="s">
        <v>0</v>
      </c>
      <c r="C58" s="671"/>
      <c r="D58" s="113" t="s">
        <v>233</v>
      </c>
      <c r="E58" s="113" t="s">
        <v>234</v>
      </c>
      <c r="F58" s="113" t="s">
        <v>299</v>
      </c>
      <c r="G58" s="113" t="s">
        <v>300</v>
      </c>
      <c r="H58" s="113" t="s">
        <v>301</v>
      </c>
    </row>
    <row r="59" spans="1:11" hidden="1">
      <c r="A59" s="115">
        <v>1</v>
      </c>
      <c r="B59" s="672">
        <v>2</v>
      </c>
      <c r="C59" s="673"/>
      <c r="D59" s="115">
        <v>3</v>
      </c>
      <c r="E59" s="115">
        <v>4</v>
      </c>
      <c r="F59" s="115">
        <v>5</v>
      </c>
      <c r="G59" s="115">
        <v>6</v>
      </c>
      <c r="H59" s="115">
        <v>7</v>
      </c>
    </row>
    <row r="60" spans="1:11" hidden="1">
      <c r="A60" s="117">
        <v>1</v>
      </c>
      <c r="B60" s="672" t="s">
        <v>308</v>
      </c>
      <c r="C60" s="673"/>
      <c r="D60" s="118"/>
      <c r="E60" s="118"/>
      <c r="F60" s="157">
        <f>D60*E60</f>
        <v>0</v>
      </c>
      <c r="G60" s="157"/>
      <c r="H60" s="157"/>
    </row>
    <row r="61" spans="1:11" hidden="1">
      <c r="A61" s="117">
        <v>2</v>
      </c>
      <c r="B61" s="672" t="s">
        <v>362</v>
      </c>
      <c r="C61" s="673"/>
      <c r="D61" s="118"/>
      <c r="E61" s="118"/>
      <c r="F61" s="157">
        <v>0</v>
      </c>
      <c r="G61" s="157"/>
      <c r="H61" s="157"/>
    </row>
    <row r="62" spans="1:11" hidden="1">
      <c r="A62" s="117"/>
      <c r="B62" s="672"/>
      <c r="C62" s="673"/>
      <c r="D62" s="118"/>
      <c r="E62" s="118"/>
      <c r="F62" s="157">
        <f t="shared" ref="F62:F65" si="8">D62*E62</f>
        <v>0</v>
      </c>
      <c r="G62" s="157"/>
      <c r="H62" s="157"/>
    </row>
    <row r="63" spans="1:11" hidden="1">
      <c r="A63" s="117"/>
      <c r="B63" s="672"/>
      <c r="C63" s="673"/>
      <c r="D63" s="118"/>
      <c r="E63" s="118"/>
      <c r="F63" s="157">
        <f t="shared" si="8"/>
        <v>0</v>
      </c>
      <c r="G63" s="157"/>
      <c r="H63" s="157"/>
    </row>
    <row r="64" spans="1:11" hidden="1">
      <c r="A64" s="117"/>
      <c r="B64" s="672"/>
      <c r="C64" s="673"/>
      <c r="D64" s="118"/>
      <c r="E64" s="118"/>
      <c r="F64" s="157">
        <f t="shared" si="8"/>
        <v>0</v>
      </c>
      <c r="G64" s="157"/>
      <c r="H64" s="157"/>
    </row>
    <row r="65" spans="1:11" hidden="1">
      <c r="A65" s="117"/>
      <c r="B65" s="672"/>
      <c r="C65" s="673"/>
      <c r="D65" s="118"/>
      <c r="E65" s="118"/>
      <c r="F65" s="157">
        <f t="shared" si="8"/>
        <v>0</v>
      </c>
      <c r="G65" s="157"/>
      <c r="H65" s="157"/>
    </row>
    <row r="66" spans="1:11" s="156" customFormat="1" hidden="1">
      <c r="A66" s="154"/>
      <c r="B66" s="681" t="s">
        <v>215</v>
      </c>
      <c r="C66" s="682"/>
      <c r="D66" s="155"/>
      <c r="E66" s="155"/>
      <c r="F66" s="158">
        <f>SUM(F60:F65)</f>
        <v>0</v>
      </c>
      <c r="G66" s="158">
        <f t="shared" ref="G66:H66" si="9">SUM(G60:G65)</f>
        <v>0</v>
      </c>
      <c r="H66" s="158">
        <f t="shared" si="9"/>
        <v>0</v>
      </c>
      <c r="I66" s="159"/>
      <c r="J66" s="159"/>
      <c r="K66" s="159"/>
    </row>
    <row r="67" spans="1:11" hidden="1"/>
    <row r="68" spans="1:11" s="66" customFormat="1" ht="14.25" hidden="1">
      <c r="A68" s="66" t="s">
        <v>235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</row>
    <row r="69" spans="1:11" hidden="1"/>
    <row r="70" spans="1:11" ht="72.75" hidden="1">
      <c r="A70" s="119" t="s">
        <v>217</v>
      </c>
      <c r="B70" s="670" t="s">
        <v>236</v>
      </c>
      <c r="C70" s="671"/>
      <c r="D70" s="113" t="s">
        <v>237</v>
      </c>
      <c r="E70" s="113" t="s">
        <v>238</v>
      </c>
      <c r="F70" s="113" t="s">
        <v>311</v>
      </c>
      <c r="G70" s="113" t="s">
        <v>312</v>
      </c>
      <c r="H70" s="113" t="s">
        <v>313</v>
      </c>
    </row>
    <row r="71" spans="1:11" hidden="1">
      <c r="A71" s="115">
        <v>1</v>
      </c>
      <c r="B71" s="672">
        <v>2</v>
      </c>
      <c r="C71" s="673"/>
      <c r="D71" s="115">
        <v>3</v>
      </c>
      <c r="E71" s="115">
        <v>4</v>
      </c>
      <c r="F71" s="115">
        <v>5</v>
      </c>
      <c r="G71" s="115">
        <v>6</v>
      </c>
      <c r="H71" s="115">
        <v>7</v>
      </c>
    </row>
    <row r="72" spans="1:11" hidden="1">
      <c r="A72" s="117">
        <v>1</v>
      </c>
      <c r="B72" s="684" t="s">
        <v>309</v>
      </c>
      <c r="C72" s="685"/>
      <c r="D72" s="118"/>
      <c r="E72" s="160">
        <v>1.4999999999999999E-2</v>
      </c>
      <c r="F72" s="157">
        <f>ROUND(D72*E72,0)</f>
        <v>0</v>
      </c>
      <c r="G72" s="157">
        <f>F72</f>
        <v>0</v>
      </c>
      <c r="H72" s="157">
        <f>G72</f>
        <v>0</v>
      </c>
    </row>
    <row r="73" spans="1:11" hidden="1">
      <c r="A73" s="117">
        <v>2</v>
      </c>
      <c r="B73" s="684" t="s">
        <v>310</v>
      </c>
      <c r="C73" s="685"/>
      <c r="D73" s="118"/>
      <c r="E73" s="160">
        <v>2.1999999999999999E-2</v>
      </c>
      <c r="F73" s="157">
        <f>ROUND(D73*E73,0)</f>
        <v>0</v>
      </c>
      <c r="G73" s="157">
        <f>F73</f>
        <v>0</v>
      </c>
      <c r="H73" s="157">
        <f>G73</f>
        <v>0</v>
      </c>
    </row>
    <row r="74" spans="1:11" s="156" customFormat="1" hidden="1">
      <c r="A74" s="154"/>
      <c r="B74" s="681" t="s">
        <v>215</v>
      </c>
      <c r="C74" s="682"/>
      <c r="D74" s="155"/>
      <c r="E74" s="155"/>
      <c r="F74" s="158">
        <f>SUM(F72:F73)</f>
        <v>0</v>
      </c>
      <c r="G74" s="158">
        <f>SUM(G72:G73)</f>
        <v>0</v>
      </c>
      <c r="H74" s="158">
        <f>SUM(H72:H73)</f>
        <v>0</v>
      </c>
      <c r="I74" s="159"/>
      <c r="J74" s="159"/>
      <c r="K74" s="159"/>
    </row>
    <row r="75" spans="1:11" hidden="1"/>
    <row r="76" spans="1:11" hidden="1">
      <c r="A76" s="683" t="s">
        <v>239</v>
      </c>
      <c r="B76" s="683"/>
      <c r="C76" s="683"/>
      <c r="D76" s="683"/>
      <c r="E76" s="683"/>
      <c r="F76" s="683"/>
      <c r="G76" s="683"/>
      <c r="H76" s="683"/>
    </row>
    <row r="77" spans="1:11" hidden="1"/>
    <row r="78" spans="1:11" ht="48.75" hidden="1">
      <c r="A78" s="119" t="s">
        <v>217</v>
      </c>
      <c r="B78" s="670" t="s">
        <v>0</v>
      </c>
      <c r="C78" s="671"/>
      <c r="D78" s="113" t="s">
        <v>240</v>
      </c>
      <c r="E78" s="113" t="s">
        <v>234</v>
      </c>
      <c r="F78" s="113" t="s">
        <v>241</v>
      </c>
      <c r="G78" s="113" t="s">
        <v>241</v>
      </c>
      <c r="H78" s="113" t="s">
        <v>241</v>
      </c>
    </row>
    <row r="79" spans="1:11" hidden="1">
      <c r="A79" s="115">
        <v>1</v>
      </c>
      <c r="B79" s="672">
        <v>2</v>
      </c>
      <c r="C79" s="673"/>
      <c r="D79" s="115">
        <v>3</v>
      </c>
      <c r="E79" s="115">
        <v>4</v>
      </c>
      <c r="F79" s="115">
        <v>5</v>
      </c>
      <c r="G79" s="115">
        <v>6</v>
      </c>
      <c r="H79" s="115">
        <v>7</v>
      </c>
    </row>
    <row r="80" spans="1:11" hidden="1">
      <c r="A80" s="117"/>
      <c r="B80" s="672"/>
      <c r="C80" s="673"/>
      <c r="D80" s="118"/>
      <c r="E80" s="118"/>
      <c r="F80" s="118"/>
      <c r="G80" s="118"/>
      <c r="H80" s="118"/>
    </row>
    <row r="81" spans="1:11" hidden="1">
      <c r="A81" s="117"/>
      <c r="B81" s="672"/>
      <c r="C81" s="673"/>
      <c r="D81" s="118"/>
      <c r="E81" s="118"/>
      <c r="F81" s="118"/>
      <c r="G81" s="118"/>
      <c r="H81" s="118"/>
    </row>
    <row r="82" spans="1:11" hidden="1">
      <c r="A82" s="117"/>
      <c r="B82" s="672"/>
      <c r="C82" s="673"/>
      <c r="D82" s="118"/>
      <c r="E82" s="118"/>
      <c r="F82" s="118"/>
      <c r="G82" s="118"/>
      <c r="H82" s="118"/>
    </row>
    <row r="83" spans="1:11" hidden="1">
      <c r="A83" s="117"/>
      <c r="B83" s="672"/>
      <c r="C83" s="673"/>
      <c r="D83" s="118"/>
      <c r="E83" s="118"/>
      <c r="F83" s="118"/>
      <c r="G83" s="118"/>
      <c r="H83" s="118"/>
    </row>
    <row r="84" spans="1:11" hidden="1">
      <c r="A84" s="117"/>
      <c r="B84" s="672"/>
      <c r="C84" s="673"/>
      <c r="D84" s="118"/>
      <c r="E84" s="118"/>
      <c r="F84" s="118"/>
      <c r="G84" s="118"/>
      <c r="H84" s="118"/>
    </row>
    <row r="85" spans="1:11" hidden="1">
      <c r="A85" s="117"/>
      <c r="B85" s="672"/>
      <c r="C85" s="673"/>
      <c r="D85" s="118"/>
      <c r="E85" s="118"/>
      <c r="F85" s="118"/>
      <c r="G85" s="118"/>
      <c r="H85" s="118"/>
    </row>
    <row r="86" spans="1:11" hidden="1">
      <c r="A86" s="117"/>
      <c r="B86" s="672" t="s">
        <v>215</v>
      </c>
      <c r="C86" s="673"/>
      <c r="D86" s="118"/>
      <c r="E86" s="118"/>
      <c r="F86" s="118"/>
      <c r="G86" s="118"/>
      <c r="H86" s="118"/>
    </row>
    <row r="87" spans="1:11" hidden="1"/>
    <row r="88" spans="1:11" s="66" customFormat="1" ht="14.25" hidden="1">
      <c r="A88" s="66" t="s">
        <v>242</v>
      </c>
      <c r="B88" s="111"/>
      <c r="C88" s="111"/>
      <c r="D88" s="111"/>
      <c r="E88" s="111"/>
      <c r="F88" s="111"/>
      <c r="G88" s="111"/>
      <c r="H88" s="111"/>
      <c r="I88" s="111"/>
      <c r="J88" s="111"/>
      <c r="K88" s="111"/>
    </row>
    <row r="89" spans="1:11" s="66" customFormat="1" ht="14.25" hidden="1">
      <c r="A89" s="66" t="s">
        <v>243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</row>
    <row r="90" spans="1:11" hidden="1"/>
    <row r="91" spans="1:11" ht="60.75" hidden="1">
      <c r="A91" s="119" t="s">
        <v>217</v>
      </c>
      <c r="B91" s="670" t="s">
        <v>0</v>
      </c>
      <c r="C91" s="671"/>
      <c r="D91" s="113" t="s">
        <v>244</v>
      </c>
      <c r="E91" s="113" t="s">
        <v>245</v>
      </c>
      <c r="F91" s="113" t="s">
        <v>246</v>
      </c>
      <c r="G91" s="113" t="s">
        <v>299</v>
      </c>
      <c r="H91" s="113" t="s">
        <v>300</v>
      </c>
      <c r="I91" s="113" t="s">
        <v>301</v>
      </c>
    </row>
    <row r="92" spans="1:11" hidden="1">
      <c r="A92" s="115">
        <v>1</v>
      </c>
      <c r="B92" s="672">
        <v>2</v>
      </c>
      <c r="C92" s="673"/>
      <c r="D92" s="115">
        <v>3</v>
      </c>
      <c r="E92" s="115">
        <v>4</v>
      </c>
      <c r="F92" s="115">
        <v>5</v>
      </c>
      <c r="G92" s="115">
        <v>6</v>
      </c>
      <c r="H92" s="115">
        <v>7</v>
      </c>
      <c r="I92" s="115">
        <v>8</v>
      </c>
    </row>
    <row r="93" spans="1:11" hidden="1">
      <c r="A93" s="117"/>
      <c r="B93" s="684" t="s">
        <v>430</v>
      </c>
      <c r="C93" s="685"/>
      <c r="D93" s="118"/>
      <c r="E93" s="118"/>
      <c r="F93" s="118"/>
      <c r="G93" s="157">
        <f>D93*E93*F93</f>
        <v>0</v>
      </c>
      <c r="H93" s="157"/>
      <c r="I93" s="157"/>
    </row>
    <row r="94" spans="1:11" hidden="1">
      <c r="A94" s="117"/>
      <c r="B94" s="352" t="s">
        <v>316</v>
      </c>
      <c r="C94" s="353"/>
      <c r="D94" s="118"/>
      <c r="E94" s="118"/>
      <c r="F94" s="306"/>
      <c r="G94" s="157">
        <f t="shared" ref="G94" si="10">D94*E94*F94</f>
        <v>0</v>
      </c>
      <c r="H94" s="157"/>
      <c r="I94" s="157"/>
    </row>
    <row r="95" spans="1:11" hidden="1">
      <c r="A95" s="117"/>
      <c r="B95" s="352" t="s">
        <v>317</v>
      </c>
      <c r="C95" s="353"/>
      <c r="D95" s="118"/>
      <c r="E95" s="118"/>
      <c r="F95" s="118"/>
      <c r="G95" s="157">
        <f>D95*E95*F95</f>
        <v>0</v>
      </c>
      <c r="H95" s="157"/>
      <c r="I95" s="157"/>
    </row>
    <row r="96" spans="1:11" hidden="1">
      <c r="A96" s="117"/>
      <c r="B96" s="672"/>
      <c r="C96" s="673"/>
      <c r="D96" s="118"/>
      <c r="E96" s="118"/>
      <c r="F96" s="118"/>
      <c r="G96" s="157"/>
      <c r="H96" s="157"/>
      <c r="I96" s="157"/>
    </row>
    <row r="97" spans="1:11" hidden="1">
      <c r="A97" s="117"/>
      <c r="B97" s="672"/>
      <c r="C97" s="673"/>
      <c r="D97" s="118"/>
      <c r="E97" s="118"/>
      <c r="F97" s="118"/>
      <c r="G97" s="157"/>
      <c r="H97" s="157"/>
      <c r="I97" s="157"/>
    </row>
    <row r="98" spans="1:11" s="156" customFormat="1" hidden="1">
      <c r="A98" s="154"/>
      <c r="B98" s="681" t="s">
        <v>215</v>
      </c>
      <c r="C98" s="682"/>
      <c r="D98" s="155"/>
      <c r="E98" s="155"/>
      <c r="F98" s="155"/>
      <c r="G98" s="158">
        <f>ROUND(SUM(G93:G97),0)</f>
        <v>0</v>
      </c>
      <c r="H98" s="158">
        <f>ROUND(SUM(H93:H97),0)</f>
        <v>0</v>
      </c>
      <c r="I98" s="158">
        <f>ROUND(SUM(I93:I97),0)</f>
        <v>0</v>
      </c>
      <c r="J98" s="159"/>
      <c r="K98" s="159"/>
    </row>
    <row r="99" spans="1:11" hidden="1"/>
    <row r="100" spans="1:11" s="66" customFormat="1" ht="14.25" hidden="1">
      <c r="A100" s="66" t="s">
        <v>247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</row>
    <row r="101" spans="1:11" hidden="1"/>
    <row r="102" spans="1:11" ht="60.75" hidden="1">
      <c r="A102" s="119" t="s">
        <v>217</v>
      </c>
      <c r="B102" s="670" t="s">
        <v>236</v>
      </c>
      <c r="C102" s="671"/>
      <c r="D102" s="113" t="s">
        <v>248</v>
      </c>
      <c r="E102" s="113" t="s">
        <v>249</v>
      </c>
      <c r="F102" s="113" t="s">
        <v>299</v>
      </c>
      <c r="G102" s="113" t="s">
        <v>300</v>
      </c>
      <c r="H102" s="113" t="s">
        <v>301</v>
      </c>
    </row>
    <row r="103" spans="1:11" hidden="1">
      <c r="A103" s="115">
        <v>1</v>
      </c>
      <c r="B103" s="672">
        <v>2</v>
      </c>
      <c r="C103" s="673"/>
      <c r="D103" s="115">
        <v>3</v>
      </c>
      <c r="E103" s="115">
        <v>4</v>
      </c>
      <c r="F103" s="115">
        <v>5</v>
      </c>
      <c r="G103" s="115">
        <v>6</v>
      </c>
      <c r="H103" s="115">
        <v>7</v>
      </c>
    </row>
    <row r="104" spans="1:11" hidden="1">
      <c r="A104" s="117">
        <v>1</v>
      </c>
      <c r="B104" s="672" t="s">
        <v>353</v>
      </c>
      <c r="C104" s="673"/>
      <c r="D104" s="118"/>
      <c r="E104" s="118"/>
      <c r="F104" s="118">
        <f>D104*E104</f>
        <v>0</v>
      </c>
      <c r="G104" s="118"/>
      <c r="H104" s="118"/>
    </row>
    <row r="105" spans="1:11" hidden="1">
      <c r="A105" s="117"/>
      <c r="B105" s="672"/>
      <c r="C105" s="673"/>
      <c r="D105" s="118"/>
      <c r="E105" s="118"/>
      <c r="F105" s="118">
        <f t="shared" ref="F105:F109" si="11">D105*E105</f>
        <v>0</v>
      </c>
      <c r="G105" s="118"/>
      <c r="H105" s="118"/>
    </row>
    <row r="106" spans="1:11" hidden="1">
      <c r="A106" s="117"/>
      <c r="B106" s="672"/>
      <c r="C106" s="673"/>
      <c r="D106" s="118"/>
      <c r="E106" s="118"/>
      <c r="F106" s="118">
        <f t="shared" si="11"/>
        <v>0</v>
      </c>
      <c r="G106" s="118"/>
      <c r="H106" s="118"/>
    </row>
    <row r="107" spans="1:11" hidden="1">
      <c r="A107" s="117"/>
      <c r="B107" s="672"/>
      <c r="C107" s="673"/>
      <c r="D107" s="118"/>
      <c r="E107" s="118"/>
      <c r="F107" s="118">
        <f t="shared" si="11"/>
        <v>0</v>
      </c>
      <c r="G107" s="118"/>
      <c r="H107" s="118"/>
    </row>
    <row r="108" spans="1:11" hidden="1">
      <c r="A108" s="117"/>
      <c r="B108" s="672"/>
      <c r="C108" s="673"/>
      <c r="D108" s="118"/>
      <c r="E108" s="118"/>
      <c r="F108" s="118">
        <f t="shared" si="11"/>
        <v>0</v>
      </c>
      <c r="G108" s="118"/>
      <c r="H108" s="118"/>
    </row>
    <row r="109" spans="1:11" hidden="1">
      <c r="A109" s="117"/>
      <c r="B109" s="672"/>
      <c r="C109" s="673"/>
      <c r="D109" s="118"/>
      <c r="E109" s="118"/>
      <c r="F109" s="118">
        <f t="shared" si="11"/>
        <v>0</v>
      </c>
      <c r="G109" s="118"/>
      <c r="H109" s="118"/>
    </row>
    <row r="110" spans="1:11" s="156" customFormat="1" hidden="1">
      <c r="A110" s="154"/>
      <c r="B110" s="681" t="s">
        <v>215</v>
      </c>
      <c r="C110" s="682"/>
      <c r="D110" s="155"/>
      <c r="E110" s="155"/>
      <c r="F110" s="155">
        <f>SUM(F104:F109)</f>
        <v>0</v>
      </c>
      <c r="G110" s="155">
        <f t="shared" ref="G110:H110" si="12">SUM(G104:G109)</f>
        <v>0</v>
      </c>
      <c r="H110" s="155">
        <f t="shared" si="12"/>
        <v>0</v>
      </c>
      <c r="I110" s="159"/>
      <c r="J110" s="159"/>
      <c r="K110" s="159"/>
    </row>
    <row r="111" spans="1:11" hidden="1"/>
    <row r="112" spans="1:11" s="66" customFormat="1" ht="14.25" hidden="1">
      <c r="A112" s="66" t="s">
        <v>250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</row>
    <row r="113" spans="1:12" hidden="1"/>
    <row r="114" spans="1:12" ht="60.75" hidden="1">
      <c r="A114" s="119" t="s">
        <v>217</v>
      </c>
      <c r="B114" s="670" t="s">
        <v>0</v>
      </c>
      <c r="C114" s="671"/>
      <c r="D114" s="113" t="s">
        <v>251</v>
      </c>
      <c r="E114" s="113" t="s">
        <v>252</v>
      </c>
      <c r="F114" s="113" t="s">
        <v>253</v>
      </c>
      <c r="G114" s="113" t="s">
        <v>299</v>
      </c>
      <c r="H114" s="113" t="s">
        <v>300</v>
      </c>
      <c r="I114" s="113" t="s">
        <v>301</v>
      </c>
    </row>
    <row r="115" spans="1:12" hidden="1">
      <c r="A115" s="115">
        <v>1</v>
      </c>
      <c r="B115" s="672">
        <v>2</v>
      </c>
      <c r="C115" s="673"/>
      <c r="D115" s="115">
        <v>3</v>
      </c>
      <c r="E115" s="115">
        <v>4</v>
      </c>
      <c r="F115" s="115">
        <v>5</v>
      </c>
      <c r="G115" s="115">
        <v>6</v>
      </c>
      <c r="H115" s="115">
        <v>7</v>
      </c>
      <c r="I115" s="115">
        <v>8</v>
      </c>
    </row>
    <row r="116" spans="1:12" hidden="1">
      <c r="A116" s="115">
        <v>1</v>
      </c>
      <c r="B116" s="684" t="s">
        <v>434</v>
      </c>
      <c r="C116" s="685"/>
      <c r="D116" s="157">
        <v>0</v>
      </c>
      <c r="E116" s="157">
        <v>25.72</v>
      </c>
      <c r="F116" s="157">
        <v>1</v>
      </c>
      <c r="G116" s="157">
        <f>D116*E116*F116</f>
        <v>0</v>
      </c>
      <c r="H116" s="157">
        <v>0</v>
      </c>
      <c r="I116" s="157">
        <v>0</v>
      </c>
    </row>
    <row r="117" spans="1:12" hidden="1">
      <c r="A117" s="115"/>
      <c r="B117" s="350"/>
      <c r="C117" s="351"/>
      <c r="D117" s="157"/>
      <c r="E117" s="157"/>
      <c r="F117" s="157">
        <v>1</v>
      </c>
      <c r="G117" s="157">
        <f t="shared" ref="G117:G118" si="13">D117*E117*F117</f>
        <v>0</v>
      </c>
      <c r="H117" s="157"/>
      <c r="I117" s="157"/>
    </row>
    <row r="118" spans="1:12" hidden="1">
      <c r="A118" s="115"/>
      <c r="B118" s="688"/>
      <c r="C118" s="689"/>
      <c r="D118" s="157"/>
      <c r="E118" s="157"/>
      <c r="F118" s="157"/>
      <c r="G118" s="157">
        <f t="shared" si="13"/>
        <v>0</v>
      </c>
      <c r="H118" s="157"/>
      <c r="I118" s="157"/>
    </row>
    <row r="119" spans="1:12" s="156" customFormat="1" hidden="1">
      <c r="A119" s="154"/>
      <c r="B119" s="681" t="s">
        <v>215</v>
      </c>
      <c r="C119" s="682"/>
      <c r="D119" s="158"/>
      <c r="E119" s="158"/>
      <c r="F119" s="158"/>
      <c r="G119" s="158">
        <f>SUM(G116:G118)</f>
        <v>0</v>
      </c>
      <c r="H119" s="158">
        <f>SUM(H116:H118)</f>
        <v>0</v>
      </c>
      <c r="I119" s="158">
        <f>SUM(I116:I118)</f>
        <v>0</v>
      </c>
      <c r="J119" s="159"/>
      <c r="K119" s="159"/>
    </row>
    <row r="120" spans="1:12" hidden="1">
      <c r="L120" s="307"/>
    </row>
    <row r="121" spans="1:12" s="66" customFormat="1" ht="14.25" hidden="1">
      <c r="A121" s="66" t="s">
        <v>254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</row>
    <row r="122" spans="1:12" hidden="1"/>
    <row r="123" spans="1:12" ht="48.75" hidden="1">
      <c r="A123" s="119" t="s">
        <v>217</v>
      </c>
      <c r="B123" s="670" t="s">
        <v>0</v>
      </c>
      <c r="C123" s="671"/>
      <c r="D123" s="113" t="s">
        <v>255</v>
      </c>
      <c r="E123" s="113" t="s">
        <v>256</v>
      </c>
      <c r="F123" s="113" t="s">
        <v>257</v>
      </c>
      <c r="G123" s="113" t="s">
        <v>257</v>
      </c>
      <c r="H123" s="113"/>
    </row>
    <row r="124" spans="1:12" hidden="1">
      <c r="A124" s="115">
        <v>1</v>
      </c>
      <c r="B124" s="672">
        <v>2</v>
      </c>
      <c r="C124" s="673"/>
      <c r="D124" s="115">
        <v>3</v>
      </c>
      <c r="E124" s="115">
        <v>4</v>
      </c>
      <c r="F124" s="115">
        <v>5</v>
      </c>
      <c r="G124" s="115">
        <v>6</v>
      </c>
      <c r="H124" s="115"/>
    </row>
    <row r="125" spans="1:12" hidden="1">
      <c r="A125" s="117"/>
      <c r="B125" s="672"/>
      <c r="C125" s="673"/>
      <c r="D125" s="118"/>
      <c r="E125" s="118"/>
      <c r="F125" s="118"/>
      <c r="G125" s="118"/>
      <c r="H125" s="118"/>
    </row>
    <row r="126" spans="1:12" hidden="1">
      <c r="A126" s="117"/>
      <c r="B126" s="672"/>
      <c r="C126" s="673"/>
      <c r="D126" s="118"/>
      <c r="E126" s="118"/>
      <c r="F126" s="118"/>
      <c r="G126" s="118"/>
      <c r="H126" s="118"/>
    </row>
    <row r="127" spans="1:12" hidden="1">
      <c r="A127" s="117"/>
      <c r="B127" s="672"/>
      <c r="C127" s="673"/>
      <c r="D127" s="118"/>
      <c r="E127" s="118"/>
      <c r="F127" s="118"/>
      <c r="G127" s="118"/>
      <c r="H127" s="118"/>
    </row>
    <row r="128" spans="1:12" hidden="1">
      <c r="A128" s="117"/>
      <c r="B128" s="672"/>
      <c r="C128" s="673"/>
      <c r="D128" s="118"/>
      <c r="E128" s="118"/>
      <c r="F128" s="118"/>
      <c r="G128" s="118"/>
      <c r="H128" s="118"/>
    </row>
    <row r="129" spans="1:11" hidden="1">
      <c r="A129" s="117"/>
      <c r="B129" s="672"/>
      <c r="C129" s="673"/>
      <c r="D129" s="118"/>
      <c r="E129" s="118"/>
      <c r="F129" s="118"/>
      <c r="G129" s="118"/>
      <c r="H129" s="118"/>
    </row>
    <row r="130" spans="1:11" hidden="1">
      <c r="A130" s="117"/>
      <c r="B130" s="672"/>
      <c r="C130" s="673"/>
      <c r="D130" s="118"/>
      <c r="E130" s="118"/>
      <c r="F130" s="118"/>
      <c r="G130" s="118"/>
      <c r="H130" s="118"/>
    </row>
    <row r="131" spans="1:11" s="156" customFormat="1" hidden="1">
      <c r="A131" s="154"/>
      <c r="B131" s="681" t="s">
        <v>215</v>
      </c>
      <c r="C131" s="682"/>
      <c r="D131" s="155"/>
      <c r="E131" s="155"/>
      <c r="F131" s="155">
        <f>SUM(F125:F130)</f>
        <v>0</v>
      </c>
      <c r="G131" s="155">
        <f t="shared" ref="G131" si="14">SUM(G125:G130)</f>
        <v>0</v>
      </c>
      <c r="H131" s="155"/>
      <c r="I131" s="159"/>
      <c r="J131" s="159"/>
      <c r="K131" s="159"/>
    </row>
    <row r="132" spans="1:11" hidden="1">
      <c r="H132" s="308"/>
      <c r="I132" s="308"/>
    </row>
    <row r="133" spans="1:11" s="66" customFormat="1" ht="14.25" hidden="1">
      <c r="A133" s="66" t="s">
        <v>258</v>
      </c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</row>
    <row r="134" spans="1:11" hidden="1"/>
    <row r="135" spans="1:11" ht="48.75" hidden="1">
      <c r="A135" s="119" t="s">
        <v>217</v>
      </c>
      <c r="B135" s="670" t="s">
        <v>0</v>
      </c>
      <c r="C135" s="671"/>
      <c r="D135" s="113" t="s">
        <v>259</v>
      </c>
      <c r="E135" s="113" t="s">
        <v>260</v>
      </c>
      <c r="F135" s="113" t="s">
        <v>299</v>
      </c>
      <c r="G135" s="113" t="s">
        <v>300</v>
      </c>
      <c r="H135" s="113" t="s">
        <v>301</v>
      </c>
    </row>
    <row r="136" spans="1:11" hidden="1">
      <c r="A136" s="115">
        <v>1</v>
      </c>
      <c r="B136" s="672">
        <v>2</v>
      </c>
      <c r="C136" s="673"/>
      <c r="D136" s="115">
        <v>3</v>
      </c>
      <c r="E136" s="115">
        <v>4</v>
      </c>
      <c r="F136" s="115">
        <v>5</v>
      </c>
      <c r="G136" s="115">
        <v>6</v>
      </c>
      <c r="H136" s="115">
        <v>7</v>
      </c>
    </row>
    <row r="137" spans="1:11" hidden="1">
      <c r="A137" s="115">
        <v>1</v>
      </c>
      <c r="B137" s="349" t="s">
        <v>522</v>
      </c>
      <c r="C137" s="310"/>
      <c r="D137" s="118">
        <v>1</v>
      </c>
      <c r="E137" s="157">
        <v>0</v>
      </c>
      <c r="F137" s="157">
        <f>E137*D137</f>
        <v>0</v>
      </c>
      <c r="G137" s="157">
        <v>0</v>
      </c>
      <c r="H137" s="157">
        <v>0</v>
      </c>
    </row>
    <row r="138" spans="1:11" hidden="1">
      <c r="A138" s="115"/>
      <c r="B138" s="349" t="s">
        <v>523</v>
      </c>
      <c r="C138" s="310"/>
      <c r="D138" s="118"/>
      <c r="E138" s="157"/>
      <c r="F138" s="157"/>
      <c r="G138" s="157"/>
      <c r="H138" s="157"/>
    </row>
    <row r="139" spans="1:11" hidden="1">
      <c r="A139" s="115"/>
      <c r="B139" s="349" t="s">
        <v>524</v>
      </c>
      <c r="C139" s="310"/>
      <c r="D139" s="118"/>
      <c r="E139" s="157"/>
      <c r="F139" s="157"/>
      <c r="G139" s="157"/>
      <c r="H139" s="157"/>
    </row>
    <row r="140" spans="1:11" hidden="1">
      <c r="A140" s="115"/>
      <c r="B140" s="684" t="s">
        <v>532</v>
      </c>
      <c r="C140" s="685"/>
      <c r="D140" s="118"/>
      <c r="E140" s="157"/>
      <c r="F140" s="157">
        <v>0</v>
      </c>
      <c r="G140" s="157">
        <v>0</v>
      </c>
      <c r="H140" s="157">
        <v>0</v>
      </c>
    </row>
    <row r="141" spans="1:11" hidden="1"/>
    <row r="142" spans="1:11" s="66" customFormat="1" ht="14.25" hidden="1">
      <c r="A142" s="66" t="s">
        <v>261</v>
      </c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</row>
    <row r="143" spans="1:11" hidden="1"/>
    <row r="144" spans="1:11" ht="48.75" hidden="1">
      <c r="A144" s="119" t="s">
        <v>217</v>
      </c>
      <c r="B144" s="670" t="s">
        <v>236</v>
      </c>
      <c r="C144" s="671"/>
      <c r="D144" s="113" t="s">
        <v>259</v>
      </c>
      <c r="E144" s="113" t="s">
        <v>260</v>
      </c>
      <c r="F144" s="113" t="s">
        <v>299</v>
      </c>
      <c r="G144" s="113" t="s">
        <v>300</v>
      </c>
      <c r="H144" s="113" t="s">
        <v>301</v>
      </c>
    </row>
    <row r="145" spans="1:11" hidden="1">
      <c r="A145" s="115">
        <v>1</v>
      </c>
      <c r="B145" s="672">
        <v>2</v>
      </c>
      <c r="C145" s="673"/>
      <c r="D145" s="115">
        <v>3</v>
      </c>
      <c r="E145" s="115">
        <v>4</v>
      </c>
      <c r="F145" s="115">
        <v>5</v>
      </c>
      <c r="G145" s="115">
        <v>6</v>
      </c>
      <c r="H145" s="115">
        <v>7</v>
      </c>
    </row>
    <row r="146" spans="1:11" hidden="1">
      <c r="A146" s="117">
        <v>1</v>
      </c>
      <c r="B146" s="318" t="s">
        <v>525</v>
      </c>
      <c r="C146" s="319"/>
      <c r="D146" s="118">
        <v>1</v>
      </c>
      <c r="E146" s="157">
        <v>0</v>
      </c>
      <c r="F146" s="157">
        <f>E146*D146</f>
        <v>0</v>
      </c>
      <c r="G146" s="157">
        <v>0</v>
      </c>
      <c r="H146" s="157">
        <v>0</v>
      </c>
    </row>
    <row r="147" spans="1:11" hidden="1">
      <c r="A147" s="117"/>
      <c r="B147" s="672"/>
      <c r="C147" s="673"/>
      <c r="D147" s="118"/>
      <c r="E147" s="157"/>
      <c r="F147" s="157">
        <f t="shared" ref="F147" si="15">E147*D147</f>
        <v>0</v>
      </c>
      <c r="G147" s="157"/>
      <c r="H147" s="157"/>
    </row>
    <row r="148" spans="1:11" hidden="1">
      <c r="A148" s="117"/>
      <c r="B148" s="350"/>
      <c r="C148" s="351"/>
      <c r="D148" s="118"/>
      <c r="E148" s="157"/>
      <c r="F148" s="157"/>
      <c r="G148" s="157"/>
      <c r="H148" s="157"/>
    </row>
    <row r="149" spans="1:11" s="156" customFormat="1" hidden="1">
      <c r="A149" s="154"/>
      <c r="B149" s="681" t="s">
        <v>215</v>
      </c>
      <c r="C149" s="682"/>
      <c r="D149" s="155"/>
      <c r="E149" s="157"/>
      <c r="F149" s="157">
        <f>ROUND(SUM(F146:F147),0)</f>
        <v>0</v>
      </c>
      <c r="G149" s="157">
        <f>ROUND(SUM(G146:G147),0)</f>
        <v>0</v>
      </c>
      <c r="H149" s="157">
        <f>ROUND(SUM(H146:H147),0)</f>
        <v>0</v>
      </c>
      <c r="I149" s="159"/>
      <c r="J149" s="159"/>
      <c r="K149" s="159"/>
    </row>
    <row r="151" spans="1:11" s="66" customFormat="1" ht="14.25">
      <c r="A151" s="66" t="s">
        <v>262</v>
      </c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</row>
    <row r="153" spans="1:11" ht="24.75">
      <c r="A153" s="119" t="s">
        <v>217</v>
      </c>
      <c r="B153" s="670" t="s">
        <v>236</v>
      </c>
      <c r="C153" s="671"/>
      <c r="D153" s="113" t="s">
        <v>255</v>
      </c>
      <c r="E153" s="113" t="s">
        <v>260</v>
      </c>
      <c r="F153" s="113" t="s">
        <v>299</v>
      </c>
      <c r="G153" s="113" t="s">
        <v>300</v>
      </c>
      <c r="H153" s="113" t="s">
        <v>301</v>
      </c>
    </row>
    <row r="154" spans="1:11">
      <c r="A154" s="115">
        <v>1</v>
      </c>
      <c r="B154" s="672">
        <v>2</v>
      </c>
      <c r="C154" s="673"/>
      <c r="D154" s="115">
        <v>3</v>
      </c>
      <c r="E154" s="115">
        <v>4</v>
      </c>
      <c r="F154" s="115">
        <v>5</v>
      </c>
      <c r="G154" s="115">
        <v>6</v>
      </c>
      <c r="H154" s="115">
        <v>7</v>
      </c>
    </row>
    <row r="155" spans="1:11" ht="37.5" customHeight="1">
      <c r="A155" s="117">
        <v>1</v>
      </c>
      <c r="B155" s="690" t="s">
        <v>526</v>
      </c>
      <c r="C155" s="691"/>
      <c r="D155" s="118">
        <v>1</v>
      </c>
      <c r="E155" s="157">
        <v>6046680</v>
      </c>
      <c r="F155" s="157">
        <f>D155*E155</f>
        <v>6046680</v>
      </c>
      <c r="G155" s="157">
        <v>6046680</v>
      </c>
      <c r="H155" s="157">
        <v>6046680</v>
      </c>
    </row>
    <row r="156" spans="1:11" ht="37.5" customHeight="1">
      <c r="A156" s="117"/>
      <c r="B156" s="684" t="s">
        <v>548</v>
      </c>
      <c r="C156" s="685"/>
      <c r="D156" s="118"/>
      <c r="E156" s="157"/>
      <c r="F156" s="157"/>
      <c r="G156" s="157"/>
      <c r="H156" s="157"/>
    </row>
    <row r="157" spans="1:11">
      <c r="A157" s="117"/>
      <c r="B157" s="684" t="s">
        <v>549</v>
      </c>
      <c r="C157" s="685"/>
      <c r="D157" s="118"/>
      <c r="E157" s="157"/>
      <c r="F157" s="157"/>
      <c r="G157" s="157"/>
      <c r="H157" s="157"/>
    </row>
    <row r="158" spans="1:11">
      <c r="A158" s="117"/>
      <c r="B158" s="684" t="s">
        <v>550</v>
      </c>
      <c r="C158" s="685"/>
      <c r="D158" s="118"/>
      <c r="E158" s="157"/>
      <c r="F158" s="157"/>
      <c r="G158" s="157"/>
      <c r="H158" s="157"/>
    </row>
    <row r="159" spans="1:11">
      <c r="A159" s="117"/>
      <c r="B159" s="363" t="s">
        <v>551</v>
      </c>
      <c r="C159" s="364"/>
      <c r="D159" s="118"/>
      <c r="E159" s="157"/>
      <c r="F159" s="157"/>
      <c r="G159" s="157"/>
      <c r="H159" s="157"/>
    </row>
    <row r="160" spans="1:11">
      <c r="A160" s="117"/>
      <c r="B160" s="363" t="s">
        <v>552</v>
      </c>
      <c r="C160" s="364"/>
      <c r="D160" s="118"/>
      <c r="E160" s="157"/>
      <c r="F160" s="157"/>
      <c r="G160" s="157"/>
      <c r="H160" s="157"/>
    </row>
    <row r="161" spans="1:21">
      <c r="A161" s="117"/>
      <c r="B161" s="363" t="s">
        <v>553</v>
      </c>
      <c r="C161" s="364"/>
      <c r="D161" s="118"/>
      <c r="E161" s="157"/>
      <c r="F161" s="157"/>
      <c r="G161" s="157"/>
      <c r="H161" s="157"/>
    </row>
    <row r="162" spans="1:21">
      <c r="A162" s="121"/>
      <c r="B162" s="688" t="s">
        <v>547</v>
      </c>
      <c r="C162" s="689"/>
      <c r="D162" s="118"/>
      <c r="E162" s="118"/>
      <c r="F162" s="118"/>
      <c r="G162" s="118"/>
      <c r="H162" s="118"/>
    </row>
    <row r="163" spans="1:21" s="156" customFormat="1">
      <c r="A163" s="154"/>
      <c r="B163" s="681"/>
      <c r="C163" s="682"/>
      <c r="D163" s="155"/>
      <c r="E163" s="155"/>
      <c r="F163" s="320">
        <f>SUM(F155:F156)</f>
        <v>6046680</v>
      </c>
      <c r="G163" s="320">
        <f>SUM(G155:G156)</f>
        <v>6046680</v>
      </c>
      <c r="H163" s="320">
        <f>SUM(H155:H156)</f>
        <v>6046680</v>
      </c>
      <c r="I163" s="159"/>
      <c r="J163" s="159"/>
      <c r="K163" s="159"/>
    </row>
    <row r="164" spans="1:21" ht="15.75" thickBot="1"/>
    <row r="165" spans="1:21" ht="15.75" thickBot="1">
      <c r="A165" s="122"/>
      <c r="B165" s="694" t="s">
        <v>263</v>
      </c>
      <c r="C165" s="695"/>
      <c r="D165" s="695"/>
      <c r="E165" s="696"/>
      <c r="F165" s="161">
        <f>I29+F54+G119+F137+F146+F155</f>
        <v>6046680</v>
      </c>
      <c r="G165" s="161">
        <f>J29+G54+G119+G140+G149+G155</f>
        <v>6046680</v>
      </c>
      <c r="H165" s="161">
        <f>K29+H54+I119+H140+H149+H155</f>
        <v>6046680</v>
      </c>
    </row>
    <row r="167" spans="1:21" s="347" customFormat="1" ht="20.25" customHeight="1">
      <c r="A167" s="697" t="s">
        <v>179</v>
      </c>
      <c r="B167" s="697"/>
      <c r="C167" s="697"/>
      <c r="D167" s="346" t="s">
        <v>401</v>
      </c>
      <c r="E167" s="123"/>
      <c r="F167" s="346"/>
      <c r="G167" s="123"/>
      <c r="H167" s="346" t="s">
        <v>505</v>
      </c>
      <c r="I167" s="346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4"/>
    </row>
    <row r="168" spans="1:21" s="347" customFormat="1" ht="20.25" customHeight="1">
      <c r="A168" s="697" t="s">
        <v>180</v>
      </c>
      <c r="B168" s="697"/>
      <c r="C168" s="697"/>
      <c r="D168" s="125" t="s">
        <v>264</v>
      </c>
      <c r="E168" s="126"/>
      <c r="F168" s="125" t="s">
        <v>265</v>
      </c>
      <c r="G168" s="126"/>
      <c r="H168" s="355" t="s">
        <v>266</v>
      </c>
      <c r="I168" s="355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4"/>
    </row>
    <row r="169" spans="1:21" s="347" customFormat="1">
      <c r="A169" s="348"/>
    </row>
    <row r="170" spans="1:21" s="347" customFormat="1" ht="30" customHeight="1">
      <c r="A170" s="698" t="s">
        <v>182</v>
      </c>
      <c r="B170" s="698"/>
      <c r="C170"/>
      <c r="D170" s="346" t="s">
        <v>515</v>
      </c>
      <c r="E170"/>
      <c r="F170" s="346"/>
      <c r="G170"/>
      <c r="H170" s="346" t="s">
        <v>519</v>
      </c>
      <c r="I170" s="346"/>
      <c r="J170" s="658" t="s">
        <v>488</v>
      </c>
      <c r="K170" s="658"/>
    </row>
    <row r="171" spans="1:21" s="347" customFormat="1">
      <c r="C171"/>
      <c r="D171" s="125" t="s">
        <v>267</v>
      </c>
      <c r="E171"/>
      <c r="F171" s="125" t="s">
        <v>265</v>
      </c>
      <c r="G171"/>
      <c r="H171" s="355" t="s">
        <v>266</v>
      </c>
      <c r="I171" s="355"/>
      <c r="J171" s="646" t="s">
        <v>183</v>
      </c>
      <c r="K171" s="646"/>
    </row>
    <row r="172" spans="1:21" s="347" customFormat="1">
      <c r="G172"/>
      <c r="H172"/>
      <c r="I172"/>
      <c r="J172"/>
    </row>
    <row r="173" spans="1:21" s="347" customFormat="1">
      <c r="A173" s="698" t="s">
        <v>489</v>
      </c>
      <c r="B173" s="698"/>
      <c r="C173" s="698"/>
      <c r="D173" s="698"/>
      <c r="E173" s="698"/>
    </row>
  </sheetData>
  <mergeCells count="99">
    <mergeCell ref="B156:C156"/>
    <mergeCell ref="B157:C157"/>
    <mergeCell ref="B158:C158"/>
    <mergeCell ref="J170:K170"/>
    <mergeCell ref="J171:K171"/>
    <mergeCell ref="A173:E173"/>
    <mergeCell ref="B162:C162"/>
    <mergeCell ref="B163:C163"/>
    <mergeCell ref="B165:E165"/>
    <mergeCell ref="A167:C167"/>
    <mergeCell ref="A168:C168"/>
    <mergeCell ref="A170:B170"/>
    <mergeCell ref="B147:C147"/>
    <mergeCell ref="B149:C149"/>
    <mergeCell ref="B153:C153"/>
    <mergeCell ref="B154:C154"/>
    <mergeCell ref="B155:C155"/>
    <mergeCell ref="B145:C145"/>
    <mergeCell ref="B125:C125"/>
    <mergeCell ref="B126:C126"/>
    <mergeCell ref="B127:C127"/>
    <mergeCell ref="B128:C128"/>
    <mergeCell ref="B129:C129"/>
    <mergeCell ref="B130:C130"/>
    <mergeCell ref="B131:C131"/>
    <mergeCell ref="B135:C135"/>
    <mergeCell ref="B136:C136"/>
    <mergeCell ref="B140:C140"/>
    <mergeCell ref="B144:C144"/>
    <mergeCell ref="B124:C124"/>
    <mergeCell ref="B106:C106"/>
    <mergeCell ref="B107:C107"/>
    <mergeCell ref="B108:C108"/>
    <mergeCell ref="B109:C109"/>
    <mergeCell ref="B110:C110"/>
    <mergeCell ref="B114:C114"/>
    <mergeCell ref="B115:C115"/>
    <mergeCell ref="B116:C116"/>
    <mergeCell ref="B118:C118"/>
    <mergeCell ref="B119:C119"/>
    <mergeCell ref="B123:C123"/>
    <mergeCell ref="B105:C105"/>
    <mergeCell ref="B85:C85"/>
    <mergeCell ref="B86:C86"/>
    <mergeCell ref="B91:C91"/>
    <mergeCell ref="B92:C92"/>
    <mergeCell ref="B93:C93"/>
    <mergeCell ref="B96:C96"/>
    <mergeCell ref="B97:C97"/>
    <mergeCell ref="B98:C98"/>
    <mergeCell ref="B102:C102"/>
    <mergeCell ref="B103:C103"/>
    <mergeCell ref="B104:C104"/>
    <mergeCell ref="B84:C84"/>
    <mergeCell ref="B71:C71"/>
    <mergeCell ref="B72:C72"/>
    <mergeCell ref="B73:C73"/>
    <mergeCell ref="B74:C74"/>
    <mergeCell ref="A76:H76"/>
    <mergeCell ref="B78:C78"/>
    <mergeCell ref="B79:C79"/>
    <mergeCell ref="B80:C80"/>
    <mergeCell ref="B81:C81"/>
    <mergeCell ref="B82:C82"/>
    <mergeCell ref="B83:C83"/>
    <mergeCell ref="B70:C70"/>
    <mergeCell ref="B53:D53"/>
    <mergeCell ref="B54:D54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52:D52"/>
    <mergeCell ref="J13:J15"/>
    <mergeCell ref="K13:K15"/>
    <mergeCell ref="D14:D15"/>
    <mergeCell ref="A43:H43"/>
    <mergeCell ref="B45:D45"/>
    <mergeCell ref="B46:D46"/>
    <mergeCell ref="B47:D47"/>
    <mergeCell ref="B48:D48"/>
    <mergeCell ref="B49:D49"/>
    <mergeCell ref="B50:D50"/>
    <mergeCell ref="B51:D51"/>
    <mergeCell ref="A1:K1"/>
    <mergeCell ref="A4:K4"/>
    <mergeCell ref="A6:B6"/>
    <mergeCell ref="A8:C8"/>
    <mergeCell ref="A13:A15"/>
    <mergeCell ref="B13:B15"/>
    <mergeCell ref="C13:C15"/>
    <mergeCell ref="D13:G13"/>
    <mergeCell ref="H13:H15"/>
    <mergeCell ref="I13:I15"/>
  </mergeCells>
  <pageMargins left="0.7" right="0.7" top="0.75" bottom="0.75" header="0.3" footer="0.3"/>
  <pageSetup paperSize="9" scale="57" orientation="portrait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40"/>
  <sheetViews>
    <sheetView view="pageBreakPreview" zoomScaleSheetLayoutView="100" workbookViewId="0">
      <selection sqref="A1:K40"/>
    </sheetView>
  </sheetViews>
  <sheetFormatPr defaultColWidth="9.140625" defaultRowHeight="15"/>
  <cols>
    <col min="1" max="1" width="5.42578125" style="18" customWidth="1"/>
    <col min="2" max="2" width="17.7109375" style="109" customWidth="1"/>
    <col min="3" max="3" width="12.28515625" style="109" customWidth="1"/>
    <col min="4" max="4" width="13.85546875" style="109" customWidth="1"/>
    <col min="5" max="5" width="14" style="109" customWidth="1"/>
    <col min="6" max="6" width="15.140625" style="109" customWidth="1"/>
    <col min="7" max="7" width="14" style="109" customWidth="1"/>
    <col min="8" max="8" width="15.140625" style="109" customWidth="1"/>
    <col min="9" max="9" width="15.42578125" style="109" customWidth="1"/>
    <col min="10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>
      <c r="A6" s="482" t="s">
        <v>203</v>
      </c>
      <c r="B6" s="482"/>
      <c r="C6" s="277">
        <v>1211121130</v>
      </c>
    </row>
    <row r="8" spans="1:11">
      <c r="A8" s="482" t="s">
        <v>204</v>
      </c>
      <c r="B8" s="482"/>
      <c r="C8" s="482"/>
      <c r="D8" s="278" t="s">
        <v>295</v>
      </c>
    </row>
    <row r="9" spans="1:11">
      <c r="A9" s="365"/>
      <c r="B9" s="365"/>
      <c r="C9" s="365"/>
    </row>
    <row r="11" spans="1:11" s="66" customFormat="1" ht="14.25">
      <c r="A11" s="66" t="s">
        <v>242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3" spans="1:11">
      <c r="H13" s="308"/>
      <c r="I13" s="308"/>
    </row>
    <row r="14" spans="1:11" s="66" customFormat="1" ht="14.25">
      <c r="A14" s="66" t="s">
        <v>258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6" spans="1:11" ht="24.75">
      <c r="A16" s="119" t="s">
        <v>217</v>
      </c>
      <c r="B16" s="670" t="s">
        <v>0</v>
      </c>
      <c r="C16" s="671"/>
      <c r="D16" s="113" t="s">
        <v>259</v>
      </c>
      <c r="E16" s="113" t="s">
        <v>260</v>
      </c>
      <c r="F16" s="113" t="s">
        <v>299</v>
      </c>
      <c r="G16" s="113" t="s">
        <v>300</v>
      </c>
      <c r="H16" s="113" t="s">
        <v>301</v>
      </c>
    </row>
    <row r="17" spans="1:11">
      <c r="A17" s="115">
        <v>1</v>
      </c>
      <c r="B17" s="672">
        <v>2</v>
      </c>
      <c r="C17" s="673"/>
      <c r="D17" s="115">
        <v>3</v>
      </c>
      <c r="E17" s="115">
        <v>4</v>
      </c>
      <c r="F17" s="115">
        <v>5</v>
      </c>
      <c r="G17" s="115">
        <v>6</v>
      </c>
      <c r="H17" s="115">
        <v>7</v>
      </c>
    </row>
    <row r="18" spans="1:11" ht="32.25" customHeight="1">
      <c r="A18" s="115">
        <v>1</v>
      </c>
      <c r="B18" s="692" t="s">
        <v>559</v>
      </c>
      <c r="C18" s="693"/>
      <c r="D18" s="118">
        <v>1</v>
      </c>
      <c r="E18" s="157">
        <v>1200030</v>
      </c>
      <c r="F18" s="157">
        <f>E18*D18</f>
        <v>1200030</v>
      </c>
      <c r="G18" s="157">
        <v>0</v>
      </c>
      <c r="H18" s="157">
        <v>0</v>
      </c>
    </row>
    <row r="19" spans="1:11">
      <c r="A19" s="115"/>
      <c r="B19" s="716">
        <v>1200030</v>
      </c>
      <c r="C19" s="685"/>
      <c r="D19" s="118"/>
      <c r="E19" s="157"/>
      <c r="F19" s="157"/>
      <c r="G19" s="157"/>
      <c r="H19" s="157"/>
    </row>
    <row r="20" spans="1:11" s="156" customFormat="1">
      <c r="A20" s="154"/>
      <c r="B20" s="681" t="s">
        <v>215</v>
      </c>
      <c r="C20" s="682"/>
      <c r="D20" s="155"/>
      <c r="E20" s="155"/>
      <c r="F20" s="158">
        <f>ROUND(SUM(F18:F19),0)</f>
        <v>1200030</v>
      </c>
      <c r="G20" s="158">
        <f>ROUND(SUM(G18:G19),0)</f>
        <v>0</v>
      </c>
      <c r="H20" s="158">
        <f>ROUND(SUM(H18:H19),0)</f>
        <v>0</v>
      </c>
      <c r="I20" s="159"/>
      <c r="J20" s="159"/>
      <c r="K20" s="159"/>
    </row>
    <row r="22" spans="1:11" s="66" customFormat="1" ht="14.25">
      <c r="A22" s="66" t="s">
        <v>261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4" spans="1:11" ht="24.75">
      <c r="A24" s="119" t="s">
        <v>217</v>
      </c>
      <c r="B24" s="670" t="s">
        <v>236</v>
      </c>
      <c r="C24" s="671"/>
      <c r="D24" s="113" t="s">
        <v>259</v>
      </c>
      <c r="E24" s="113" t="s">
        <v>260</v>
      </c>
      <c r="F24" s="113" t="s">
        <v>299</v>
      </c>
      <c r="G24" s="113" t="s">
        <v>300</v>
      </c>
      <c r="H24" s="113" t="s">
        <v>301</v>
      </c>
    </row>
    <row r="25" spans="1:11">
      <c r="A25" s="115">
        <v>1</v>
      </c>
      <c r="B25" s="672">
        <v>2</v>
      </c>
      <c r="C25" s="673"/>
      <c r="D25" s="115">
        <v>3</v>
      </c>
      <c r="E25" s="115">
        <v>4</v>
      </c>
      <c r="F25" s="115">
        <v>5</v>
      </c>
      <c r="G25" s="115">
        <v>6</v>
      </c>
      <c r="H25" s="115">
        <v>7</v>
      </c>
    </row>
    <row r="26" spans="1:11" ht="20.25" customHeight="1">
      <c r="A26" s="117">
        <v>1</v>
      </c>
      <c r="B26" s="692" t="s">
        <v>555</v>
      </c>
      <c r="C26" s="693"/>
      <c r="D26" s="118">
        <v>1</v>
      </c>
      <c r="E26" s="157">
        <v>230000</v>
      </c>
      <c r="F26" s="157">
        <f>E26*D26</f>
        <v>230000</v>
      </c>
      <c r="G26" s="157">
        <v>0</v>
      </c>
      <c r="H26" s="157">
        <v>0</v>
      </c>
    </row>
    <row r="27" spans="1:11">
      <c r="A27" s="117"/>
      <c r="B27" s="717" t="s">
        <v>558</v>
      </c>
      <c r="C27" s="673"/>
      <c r="D27" s="118"/>
      <c r="E27" s="157"/>
      <c r="F27" s="157">
        <f t="shared" ref="F27:F29" si="0">E27*D27</f>
        <v>0</v>
      </c>
      <c r="G27" s="157"/>
      <c r="H27" s="157"/>
    </row>
    <row r="28" spans="1:11">
      <c r="A28" s="117">
        <v>2</v>
      </c>
      <c r="B28" s="372" t="s">
        <v>556</v>
      </c>
      <c r="C28" s="369"/>
      <c r="D28" s="118"/>
      <c r="E28" s="157"/>
      <c r="F28" s="157">
        <f t="shared" si="0"/>
        <v>0</v>
      </c>
      <c r="G28" s="157"/>
      <c r="H28" s="157"/>
    </row>
    <row r="29" spans="1:11">
      <c r="A29" s="117"/>
      <c r="B29" s="371" t="s">
        <v>557</v>
      </c>
      <c r="C29" s="369"/>
      <c r="D29" s="118">
        <v>1</v>
      </c>
      <c r="E29" s="157">
        <v>50000</v>
      </c>
      <c r="F29" s="157">
        <f t="shared" si="0"/>
        <v>50000</v>
      </c>
      <c r="G29" s="157">
        <v>0</v>
      </c>
      <c r="H29" s="157">
        <v>0</v>
      </c>
    </row>
    <row r="30" spans="1:11" s="156" customFormat="1">
      <c r="A30" s="154"/>
      <c r="B30" s="681" t="s">
        <v>215</v>
      </c>
      <c r="C30" s="682"/>
      <c r="D30" s="155"/>
      <c r="E30" s="157"/>
      <c r="F30" s="157">
        <f>ROUND(SUM(F26:F29),0)</f>
        <v>280000</v>
      </c>
      <c r="G30" s="157">
        <f>ROUND(SUM(G26:G29),0)</f>
        <v>0</v>
      </c>
      <c r="H30" s="157">
        <f>ROUND(SUM(H26:H29),0)</f>
        <v>0</v>
      </c>
      <c r="I30" s="159"/>
      <c r="J30" s="159"/>
      <c r="K30" s="159"/>
    </row>
    <row r="31" spans="1:11" ht="15.75" thickBot="1"/>
    <row r="32" spans="1:11" ht="15.75" thickBot="1">
      <c r="A32" s="122"/>
      <c r="B32" s="694" t="s">
        <v>263</v>
      </c>
      <c r="C32" s="695"/>
      <c r="D32" s="695"/>
      <c r="E32" s="696"/>
      <c r="F32" s="161">
        <f>F30+F20</f>
        <v>1480030</v>
      </c>
      <c r="G32" s="161">
        <f>G30+G20</f>
        <v>0</v>
      </c>
      <c r="H32" s="161">
        <f>H30+H20</f>
        <v>0</v>
      </c>
    </row>
    <row r="34" spans="1:21" s="367" customFormat="1" ht="20.25" customHeight="1">
      <c r="A34" s="697" t="s">
        <v>179</v>
      </c>
      <c r="B34" s="697"/>
      <c r="C34" s="697"/>
      <c r="D34" s="366" t="str">
        <f>[1]закупки!AQ30</f>
        <v>Заведующий</v>
      </c>
      <c r="E34" s="123"/>
      <c r="F34" s="366"/>
      <c r="G34" s="123"/>
      <c r="H34" s="366" t="str">
        <f>[1]закупки!BY30</f>
        <v>Ускова Н.П.</v>
      </c>
      <c r="I34" s="366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4"/>
    </row>
    <row r="35" spans="1:21" s="367" customFormat="1" ht="20.25" customHeight="1">
      <c r="A35" s="697" t="s">
        <v>180</v>
      </c>
      <c r="B35" s="697"/>
      <c r="C35" s="697"/>
      <c r="D35" s="125" t="s">
        <v>264</v>
      </c>
      <c r="E35" s="126"/>
      <c r="F35" s="125" t="s">
        <v>265</v>
      </c>
      <c r="G35" s="126"/>
      <c r="H35" s="370" t="s">
        <v>266</v>
      </c>
      <c r="I35" s="370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4"/>
    </row>
    <row r="36" spans="1:21" s="367" customFormat="1">
      <c r="A36" s="368"/>
    </row>
    <row r="37" spans="1:21" s="367" customFormat="1" ht="30" customHeight="1">
      <c r="A37" s="698" t="s">
        <v>182</v>
      </c>
      <c r="B37" s="698"/>
      <c r="C37"/>
      <c r="D37" s="366" t="s">
        <v>515</v>
      </c>
      <c r="E37"/>
      <c r="F37" s="366"/>
      <c r="G37"/>
      <c r="H37" s="366" t="s">
        <v>519</v>
      </c>
      <c r="I37" s="366"/>
      <c r="J37" s="658" t="s">
        <v>488</v>
      </c>
      <c r="K37" s="658"/>
    </row>
    <row r="38" spans="1:21" s="367" customFormat="1">
      <c r="C38"/>
      <c r="D38" s="125" t="s">
        <v>267</v>
      </c>
      <c r="E38"/>
      <c r="F38" s="125" t="s">
        <v>265</v>
      </c>
      <c r="G38"/>
      <c r="H38" s="370" t="s">
        <v>266</v>
      </c>
      <c r="I38" s="370"/>
      <c r="J38" s="646" t="s">
        <v>183</v>
      </c>
      <c r="K38" s="646"/>
    </row>
    <row r="39" spans="1:21" s="367" customFormat="1">
      <c r="G39"/>
      <c r="H39"/>
      <c r="I39"/>
      <c r="J39"/>
    </row>
    <row r="40" spans="1:21" s="367" customFormat="1">
      <c r="A40" s="698" t="s">
        <v>554</v>
      </c>
      <c r="B40" s="698"/>
      <c r="C40" s="698"/>
      <c r="D40" s="698"/>
      <c r="E40" s="698"/>
    </row>
  </sheetData>
  <mergeCells count="21">
    <mergeCell ref="J37:K37"/>
    <mergeCell ref="J38:K38"/>
    <mergeCell ref="A40:E40"/>
    <mergeCell ref="B32:E32"/>
    <mergeCell ref="A34:C34"/>
    <mergeCell ref="A35:C35"/>
    <mergeCell ref="A37:B37"/>
    <mergeCell ref="B30:C30"/>
    <mergeCell ref="B24:C24"/>
    <mergeCell ref="B25:C25"/>
    <mergeCell ref="B27:C27"/>
    <mergeCell ref="B26:C26"/>
    <mergeCell ref="B20:C20"/>
    <mergeCell ref="B16:C16"/>
    <mergeCell ref="B17:C17"/>
    <mergeCell ref="B19:C19"/>
    <mergeCell ref="A1:K1"/>
    <mergeCell ref="A4:K4"/>
    <mergeCell ref="A6:B6"/>
    <mergeCell ref="A8:C8"/>
    <mergeCell ref="B18:C18"/>
  </mergeCells>
  <pageMargins left="0.7" right="0.7" top="0.75" bottom="0.75" header="0.3" footer="0.3"/>
  <pageSetup paperSize="9" scale="56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0"/>
  <sheetViews>
    <sheetView view="pageBreakPreview" zoomScale="60" zoomScaleNormal="100" workbookViewId="0">
      <selection activeCell="J16" sqref="J16"/>
    </sheetView>
  </sheetViews>
  <sheetFormatPr defaultRowHeight="15"/>
  <cols>
    <col min="1" max="1" width="9.28515625" bestFit="1" customWidth="1"/>
    <col min="3" max="3" width="13.42578125" bestFit="1" customWidth="1"/>
    <col min="4" max="4" width="9.28515625" bestFit="1" customWidth="1"/>
    <col min="5" max="5" width="12.5703125" customWidth="1"/>
    <col min="6" max="6" width="13" customWidth="1"/>
    <col min="7" max="7" width="13.42578125" customWidth="1"/>
    <col min="8" max="8" width="9.28515625" bestFit="1" customWidth="1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2" spans="1:11">
      <c r="A2" s="18"/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>
      <c r="A3" s="18"/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5" spans="1:11">
      <c r="A5" s="18"/>
      <c r="B5" s="109"/>
      <c r="C5" s="109"/>
      <c r="D5" s="109"/>
      <c r="E5" s="109"/>
      <c r="F5" s="109"/>
      <c r="G5" s="109"/>
      <c r="H5" s="109"/>
      <c r="I5" s="109"/>
      <c r="J5" s="109"/>
      <c r="K5" s="109"/>
    </row>
    <row r="6" spans="1:11">
      <c r="A6" s="482" t="s">
        <v>203</v>
      </c>
      <c r="B6" s="482"/>
      <c r="C6" s="277">
        <v>1212121150</v>
      </c>
      <c r="D6" s="109"/>
      <c r="E6" s="109"/>
      <c r="F6" s="109"/>
      <c r="G6" s="109"/>
      <c r="H6" s="109"/>
      <c r="I6" s="109"/>
      <c r="J6" s="109"/>
      <c r="K6" s="109"/>
    </row>
    <row r="7" spans="1:11">
      <c r="A7" s="18"/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>
      <c r="A8" s="482" t="s">
        <v>204</v>
      </c>
      <c r="B8" s="482"/>
      <c r="C8" s="482"/>
      <c r="D8" s="278" t="s">
        <v>295</v>
      </c>
      <c r="E8" s="109"/>
      <c r="F8" s="109"/>
      <c r="G8" s="109"/>
      <c r="H8" s="109"/>
      <c r="I8" s="109"/>
      <c r="J8" s="109"/>
      <c r="K8" s="109"/>
    </row>
    <row r="9" spans="1:11">
      <c r="A9" s="389"/>
      <c r="B9" s="389"/>
      <c r="C9" s="389"/>
      <c r="D9" s="109"/>
      <c r="E9" s="109"/>
      <c r="F9" s="109"/>
      <c r="G9" s="109"/>
      <c r="H9" s="109"/>
      <c r="I9" s="109"/>
      <c r="J9" s="109"/>
      <c r="K9" s="109"/>
    </row>
    <row r="10" spans="1:11">
      <c r="A10" s="18"/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>
      <c r="A11" s="66" t="s">
        <v>242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</row>
    <row r="12" spans="1:11">
      <c r="A12" s="18"/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>
      <c r="A13" s="18"/>
      <c r="B13" s="109"/>
      <c r="C13" s="109"/>
      <c r="D13" s="109"/>
      <c r="E13" s="109"/>
      <c r="F13" s="109"/>
      <c r="G13" s="109"/>
      <c r="H13" s="308"/>
      <c r="I13" s="308"/>
      <c r="J13" s="109"/>
      <c r="K13" s="109"/>
    </row>
    <row r="14" spans="1:11">
      <c r="A14" s="66" t="s">
        <v>258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</row>
    <row r="15" spans="1:11">
      <c r="A15" s="18"/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ht="36.75">
      <c r="A16" s="119" t="s">
        <v>217</v>
      </c>
      <c r="B16" s="670" t="s">
        <v>0</v>
      </c>
      <c r="C16" s="671"/>
      <c r="D16" s="113" t="s">
        <v>259</v>
      </c>
      <c r="E16" s="113" t="s">
        <v>260</v>
      </c>
      <c r="F16" s="113" t="s">
        <v>299</v>
      </c>
      <c r="G16" s="113" t="s">
        <v>300</v>
      </c>
      <c r="H16" s="113" t="s">
        <v>301</v>
      </c>
      <c r="I16" s="109"/>
      <c r="J16" s="109"/>
      <c r="K16" s="109"/>
    </row>
    <row r="17" spans="1:11">
      <c r="A17" s="115">
        <v>1</v>
      </c>
      <c r="B17" s="672">
        <v>2</v>
      </c>
      <c r="C17" s="673"/>
      <c r="D17" s="115">
        <v>3</v>
      </c>
      <c r="E17" s="115">
        <v>4</v>
      </c>
      <c r="F17" s="115">
        <v>5</v>
      </c>
      <c r="G17" s="115">
        <v>6</v>
      </c>
      <c r="H17" s="115">
        <v>7</v>
      </c>
      <c r="I17" s="109"/>
      <c r="J17" s="109"/>
      <c r="K17" s="109"/>
    </row>
    <row r="18" spans="1:11" ht="29.25" customHeight="1">
      <c r="A18" s="115">
        <v>1</v>
      </c>
      <c r="B18" s="692" t="s">
        <v>595</v>
      </c>
      <c r="C18" s="693"/>
      <c r="D18" s="118">
        <v>1</v>
      </c>
      <c r="E18" s="157">
        <v>100000</v>
      </c>
      <c r="F18" s="157">
        <f>E18*D18</f>
        <v>100000</v>
      </c>
      <c r="G18" s="157">
        <v>0</v>
      </c>
      <c r="H18" s="157">
        <v>0</v>
      </c>
      <c r="I18" s="109"/>
      <c r="J18" s="109"/>
      <c r="K18" s="109"/>
    </row>
    <row r="19" spans="1:11">
      <c r="A19" s="115"/>
      <c r="B19" s="716">
        <v>100000</v>
      </c>
      <c r="C19" s="685"/>
      <c r="D19" s="118"/>
      <c r="E19" s="157"/>
      <c r="F19" s="157"/>
      <c r="G19" s="157"/>
      <c r="H19" s="157"/>
      <c r="I19" s="109"/>
      <c r="J19" s="109"/>
      <c r="K19" s="109"/>
    </row>
    <row r="20" spans="1:11">
      <c r="A20" s="154"/>
      <c r="B20" s="681" t="s">
        <v>215</v>
      </c>
      <c r="C20" s="682"/>
      <c r="D20" s="155"/>
      <c r="E20" s="155"/>
      <c r="F20" s="158">
        <f>ROUND(SUM(F18:F19),0)</f>
        <v>100000</v>
      </c>
      <c r="G20" s="158">
        <f>ROUND(SUM(G18:G19),0)</f>
        <v>0</v>
      </c>
      <c r="H20" s="158">
        <f>ROUND(SUM(H18:H19),0)</f>
        <v>0</v>
      </c>
      <c r="I20" s="159"/>
      <c r="J20" s="159"/>
      <c r="K20" s="159"/>
    </row>
    <row r="21" spans="1:11" ht="15.75" thickBot="1">
      <c r="A21" s="18"/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ht="15.75" thickBot="1">
      <c r="A22" s="122"/>
      <c r="B22" s="694" t="s">
        <v>263</v>
      </c>
      <c r="C22" s="695"/>
      <c r="D22" s="695"/>
      <c r="E22" s="696"/>
      <c r="F22" s="161">
        <f>F20</f>
        <v>100000</v>
      </c>
      <c r="G22" s="161">
        <f>G20</f>
        <v>0</v>
      </c>
      <c r="H22" s="161">
        <f>H20</f>
        <v>0</v>
      </c>
      <c r="I22" s="109"/>
      <c r="J22" s="109"/>
      <c r="K22" s="109"/>
    </row>
    <row r="23" spans="1:11">
      <c r="A23" s="18"/>
      <c r="B23" s="109"/>
      <c r="C23" s="109"/>
      <c r="D23" s="109"/>
      <c r="E23" s="109"/>
      <c r="F23" s="109"/>
      <c r="G23" s="109"/>
      <c r="H23" s="109"/>
      <c r="I23" s="109"/>
      <c r="J23" s="109"/>
      <c r="K23" s="109"/>
    </row>
    <row r="24" spans="1:11">
      <c r="A24" s="697" t="s">
        <v>179</v>
      </c>
      <c r="B24" s="697"/>
      <c r="C24" s="697"/>
      <c r="D24" s="390" t="str">
        <f>[1]закупки!AQ30</f>
        <v>Заведующий</v>
      </c>
      <c r="E24" s="123"/>
      <c r="F24" s="390"/>
      <c r="G24" s="123"/>
      <c r="H24" s="390" t="str">
        <f>[1]закупки!BY30</f>
        <v>Ускова Н.П.</v>
      </c>
      <c r="I24" s="390"/>
      <c r="J24" s="123"/>
      <c r="K24" s="123"/>
    </row>
    <row r="25" spans="1:11">
      <c r="A25" s="697" t="s">
        <v>180</v>
      </c>
      <c r="B25" s="697"/>
      <c r="C25" s="697"/>
      <c r="D25" s="125" t="s">
        <v>264</v>
      </c>
      <c r="E25" s="126"/>
      <c r="F25" s="125" t="s">
        <v>265</v>
      </c>
      <c r="G25" s="126"/>
      <c r="H25" s="393" t="s">
        <v>266</v>
      </c>
      <c r="I25" s="393"/>
      <c r="J25" s="126"/>
      <c r="K25" s="126"/>
    </row>
    <row r="26" spans="1:11">
      <c r="A26" s="392"/>
      <c r="B26" s="391"/>
      <c r="C26" s="391"/>
      <c r="D26" s="391"/>
      <c r="E26" s="391"/>
      <c r="F26" s="391"/>
      <c r="G26" s="391"/>
      <c r="H26" s="391"/>
      <c r="I26" s="391"/>
      <c r="J26" s="391"/>
      <c r="K26" s="391"/>
    </row>
    <row r="27" spans="1:11">
      <c r="A27" s="698" t="s">
        <v>182</v>
      </c>
      <c r="B27" s="698"/>
      <c r="D27" s="390" t="s">
        <v>515</v>
      </c>
      <c r="F27" s="390"/>
      <c r="H27" s="390" t="s">
        <v>519</v>
      </c>
      <c r="I27" s="390"/>
      <c r="J27" s="658" t="s">
        <v>488</v>
      </c>
      <c r="K27" s="658"/>
    </row>
    <row r="28" spans="1:11">
      <c r="A28" s="391"/>
      <c r="B28" s="391"/>
      <c r="D28" s="125" t="s">
        <v>267</v>
      </c>
      <c r="F28" s="125" t="s">
        <v>265</v>
      </c>
      <c r="H28" s="393" t="s">
        <v>266</v>
      </c>
      <c r="I28" s="393"/>
      <c r="J28" s="646" t="s">
        <v>183</v>
      </c>
      <c r="K28" s="646"/>
    </row>
    <row r="29" spans="1:11">
      <c r="A29" s="391"/>
      <c r="B29" s="391"/>
      <c r="C29" s="391"/>
      <c r="D29" s="391"/>
      <c r="E29" s="391"/>
      <c r="F29" s="391"/>
      <c r="K29" s="391"/>
    </row>
    <row r="30" spans="1:11">
      <c r="A30" s="698" t="s">
        <v>596</v>
      </c>
      <c r="B30" s="698"/>
      <c r="C30" s="698"/>
      <c r="D30" s="698"/>
      <c r="E30" s="698"/>
      <c r="F30" s="391"/>
      <c r="G30" s="391"/>
      <c r="H30" s="391"/>
      <c r="I30" s="391"/>
      <c r="J30" s="391"/>
      <c r="K30" s="391"/>
    </row>
  </sheetData>
  <mergeCells count="16">
    <mergeCell ref="J27:K27"/>
    <mergeCell ref="J28:K28"/>
    <mergeCell ref="A30:E30"/>
    <mergeCell ref="B22:E22"/>
    <mergeCell ref="A24:C24"/>
    <mergeCell ref="A25:C25"/>
    <mergeCell ref="A27:B27"/>
    <mergeCell ref="B18:C18"/>
    <mergeCell ref="B19:C19"/>
    <mergeCell ref="B20:C20"/>
    <mergeCell ref="A1:K1"/>
    <mergeCell ref="A4:K4"/>
    <mergeCell ref="A6:B6"/>
    <mergeCell ref="A8:C8"/>
    <mergeCell ref="B16:C16"/>
    <mergeCell ref="B17:C17"/>
  </mergeCells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BS308"/>
  <sheetViews>
    <sheetView view="pageBreakPreview" topLeftCell="A184" zoomScaleSheetLayoutView="100" workbookViewId="0">
      <selection activeCell="Q30" sqref="Q30"/>
    </sheetView>
  </sheetViews>
  <sheetFormatPr defaultColWidth="9.140625" defaultRowHeight="15"/>
  <cols>
    <col min="1" max="1" width="9.140625" style="42"/>
    <col min="2" max="6" width="9.140625" style="18"/>
    <col min="7" max="7" width="8" style="18" customWidth="1"/>
    <col min="8" max="9" width="9.140625" style="18"/>
    <col min="10" max="10" width="14.7109375" style="18" customWidth="1"/>
    <col min="11" max="12" width="11.7109375" style="18" customWidth="1"/>
    <col min="13" max="13" width="12" style="18" customWidth="1"/>
    <col min="14" max="14" width="10.5703125" style="18" customWidth="1"/>
    <col min="15" max="15" width="12.28515625" style="83" customWidth="1"/>
    <col min="16" max="16" width="11.140625" style="83" customWidth="1"/>
    <col min="17" max="17" width="12.28515625" style="83" customWidth="1"/>
    <col min="18" max="18" width="11.140625" style="42" customWidth="1"/>
    <col min="19" max="71" width="9.140625" style="42"/>
    <col min="72" max="16384" width="9.140625" style="18"/>
  </cols>
  <sheetData>
    <row r="2" spans="2:14">
      <c r="K2" s="504" t="s">
        <v>123</v>
      </c>
      <c r="L2" s="504"/>
      <c r="M2" s="504"/>
      <c r="N2" s="504"/>
    </row>
    <row r="3" spans="2:14">
      <c r="K3" s="504" t="s">
        <v>401</v>
      </c>
      <c r="L3" s="504"/>
      <c r="M3" s="504"/>
      <c r="N3" s="504"/>
    </row>
    <row r="4" spans="2:14">
      <c r="K4" s="497" t="s">
        <v>118</v>
      </c>
      <c r="L4" s="497"/>
      <c r="M4" s="497"/>
      <c r="N4" s="497"/>
    </row>
    <row r="5" spans="2:14" ht="22.5" customHeight="1">
      <c r="K5" s="495" t="s">
        <v>502</v>
      </c>
      <c r="L5" s="496"/>
      <c r="M5" s="496"/>
      <c r="N5" s="496"/>
    </row>
    <row r="6" spans="2:14">
      <c r="K6" s="497" t="s">
        <v>119</v>
      </c>
      <c r="L6" s="497"/>
      <c r="M6" s="497"/>
      <c r="N6" s="497"/>
    </row>
    <row r="7" spans="2:14">
      <c r="K7" s="500" t="s">
        <v>505</v>
      </c>
      <c r="L7" s="500"/>
      <c r="M7" s="500"/>
      <c r="N7" s="500"/>
    </row>
    <row r="8" spans="2:14" ht="8.25" customHeight="1">
      <c r="K8" s="497" t="s">
        <v>120</v>
      </c>
      <c r="L8" s="497"/>
      <c r="M8" s="498" t="s">
        <v>121</v>
      </c>
      <c r="N8" s="498"/>
    </row>
    <row r="9" spans="2:14">
      <c r="K9" s="465" t="s">
        <v>598</v>
      </c>
      <c r="L9" s="465"/>
      <c r="M9" s="465"/>
      <c r="N9" s="465"/>
    </row>
    <row r="10" spans="2:14" ht="15.75" thickBot="1"/>
    <row r="11" spans="2:14" ht="12" customHeight="1">
      <c r="L11" s="12"/>
      <c r="M11" s="12"/>
      <c r="N11" s="466" t="s">
        <v>109</v>
      </c>
    </row>
    <row r="12" spans="2:14" ht="12" customHeight="1" thickBot="1">
      <c r="L12" s="13"/>
      <c r="M12" s="13"/>
      <c r="N12" s="467"/>
    </row>
    <row r="13" spans="2:14" ht="15" customHeight="1">
      <c r="D13" s="499" t="s">
        <v>342</v>
      </c>
      <c r="E13" s="499"/>
      <c r="F13" s="499"/>
      <c r="G13" s="499"/>
      <c r="H13" s="499"/>
      <c r="I13" s="499"/>
      <c r="J13" s="499"/>
      <c r="L13" s="13"/>
      <c r="M13" s="14" t="s">
        <v>110</v>
      </c>
      <c r="N13" s="15" t="s">
        <v>597</v>
      </c>
    </row>
    <row r="14" spans="2:14" ht="15" customHeight="1">
      <c r="D14" s="499" t="s">
        <v>201</v>
      </c>
      <c r="E14" s="499"/>
      <c r="F14" s="499"/>
      <c r="G14" s="499"/>
      <c r="H14" s="499"/>
      <c r="I14" s="499"/>
      <c r="J14" s="499"/>
      <c r="L14" s="13"/>
      <c r="M14" s="14" t="s">
        <v>111</v>
      </c>
      <c r="N14" s="16"/>
    </row>
    <row r="15" spans="2:14" ht="15" customHeight="1">
      <c r="D15" s="499" t="s">
        <v>599</v>
      </c>
      <c r="E15" s="499"/>
      <c r="F15" s="499"/>
      <c r="G15" s="499"/>
      <c r="H15" s="499"/>
      <c r="I15" s="499"/>
      <c r="J15" s="499"/>
      <c r="L15" s="13"/>
      <c r="M15" s="14" t="s">
        <v>112</v>
      </c>
      <c r="N15" s="16" t="s">
        <v>365</v>
      </c>
    </row>
    <row r="16" spans="2:14" ht="12" customHeight="1">
      <c r="B16" s="482" t="s">
        <v>392</v>
      </c>
      <c r="C16" s="482"/>
      <c r="D16" s="482"/>
      <c r="E16" s="258"/>
      <c r="L16" s="13"/>
      <c r="M16" s="14" t="s">
        <v>111</v>
      </c>
      <c r="N16" s="16"/>
    </row>
    <row r="17" spans="1:71" ht="12" customHeight="1">
      <c r="B17" s="482" t="s">
        <v>393</v>
      </c>
      <c r="C17" s="482"/>
      <c r="D17" s="482"/>
      <c r="E17" s="482"/>
      <c r="F17" s="483" t="s">
        <v>394</v>
      </c>
      <c r="G17" s="483"/>
      <c r="H17" s="483"/>
      <c r="I17" s="483"/>
      <c r="L17" s="13"/>
      <c r="M17" s="14" t="s">
        <v>113</v>
      </c>
      <c r="N17" s="323" t="s">
        <v>500</v>
      </c>
    </row>
    <row r="18" spans="1:71" ht="29.25" customHeight="1">
      <c r="B18" s="18" t="s">
        <v>395</v>
      </c>
      <c r="D18" s="503" t="str">
        <f>K5</f>
        <v>Муниципальное бюджетное дошкольное образовательное учреждение детский сад № 56 города Пензы «Капитошка»</v>
      </c>
      <c r="E18" s="503"/>
      <c r="F18" s="503"/>
      <c r="G18" s="503"/>
      <c r="H18" s="503"/>
      <c r="I18" s="503"/>
      <c r="J18" s="503"/>
      <c r="K18" s="503"/>
      <c r="L18" s="503"/>
      <c r="M18" s="14" t="s">
        <v>114</v>
      </c>
      <c r="N18" s="323" t="s">
        <v>501</v>
      </c>
    </row>
    <row r="19" spans="1:71" ht="12" customHeight="1" thickBot="1">
      <c r="B19" s="18" t="s">
        <v>396</v>
      </c>
      <c r="L19" s="13"/>
      <c r="M19" s="14" t="s">
        <v>115</v>
      </c>
      <c r="N19" s="17" t="s">
        <v>116</v>
      </c>
    </row>
    <row r="20" spans="1:71">
      <c r="E20" s="66" t="s">
        <v>117</v>
      </c>
      <c r="F20" s="66"/>
      <c r="G20" s="66"/>
      <c r="H20" s="66"/>
    </row>
    <row r="21" spans="1:71" ht="15.75" thickBot="1"/>
    <row r="22" spans="1:71">
      <c r="B22" s="469" t="s">
        <v>0</v>
      </c>
      <c r="C22" s="470"/>
      <c r="D22" s="470"/>
      <c r="E22" s="470"/>
      <c r="F22" s="470"/>
      <c r="G22" s="470"/>
      <c r="H22" s="475" t="s">
        <v>1</v>
      </c>
      <c r="I22" s="475" t="s">
        <v>2</v>
      </c>
      <c r="J22" s="478" t="s">
        <v>3</v>
      </c>
      <c r="K22" s="480" t="s">
        <v>4</v>
      </c>
      <c r="L22" s="480"/>
      <c r="M22" s="480"/>
      <c r="N22" s="481"/>
    </row>
    <row r="23" spans="1:71">
      <c r="B23" s="471"/>
      <c r="C23" s="472"/>
      <c r="D23" s="472"/>
      <c r="E23" s="472"/>
      <c r="F23" s="472"/>
      <c r="G23" s="472"/>
      <c r="H23" s="476"/>
      <c r="I23" s="476"/>
      <c r="J23" s="479"/>
      <c r="K23" s="60" t="s">
        <v>195</v>
      </c>
      <c r="L23" s="60" t="s">
        <v>196</v>
      </c>
      <c r="M23" s="60" t="s">
        <v>197</v>
      </c>
      <c r="N23" s="491" t="s">
        <v>7</v>
      </c>
    </row>
    <row r="24" spans="1:71" ht="36.75" customHeight="1">
      <c r="B24" s="473"/>
      <c r="C24" s="474"/>
      <c r="D24" s="474"/>
      <c r="E24" s="474"/>
      <c r="F24" s="474"/>
      <c r="G24" s="474"/>
      <c r="H24" s="477"/>
      <c r="I24" s="477"/>
      <c r="J24" s="479"/>
      <c r="K24" s="61" t="s">
        <v>8</v>
      </c>
      <c r="L24" s="61" t="s">
        <v>9</v>
      </c>
      <c r="M24" s="61" t="s">
        <v>10</v>
      </c>
      <c r="N24" s="491"/>
    </row>
    <row r="25" spans="1:71" ht="15.75" thickBot="1">
      <c r="B25" s="501" t="s">
        <v>11</v>
      </c>
      <c r="C25" s="502"/>
      <c r="D25" s="502"/>
      <c r="E25" s="502"/>
      <c r="F25" s="502"/>
      <c r="G25" s="502"/>
      <c r="H25" s="1" t="s">
        <v>12</v>
      </c>
      <c r="I25" s="1" t="s">
        <v>13</v>
      </c>
      <c r="J25" s="1" t="s">
        <v>14</v>
      </c>
      <c r="K25" s="1" t="s">
        <v>15</v>
      </c>
      <c r="L25" s="1" t="s">
        <v>16</v>
      </c>
      <c r="M25" s="1" t="s">
        <v>17</v>
      </c>
      <c r="N25" s="67" t="s">
        <v>18</v>
      </c>
    </row>
    <row r="26" spans="1:71">
      <c r="B26" s="413" t="s">
        <v>19</v>
      </c>
      <c r="C26" s="398"/>
      <c r="D26" s="398"/>
      <c r="E26" s="398"/>
      <c r="F26" s="398"/>
      <c r="G26" s="398"/>
      <c r="H26" s="2" t="s">
        <v>20</v>
      </c>
      <c r="I26" s="7" t="s">
        <v>21</v>
      </c>
      <c r="J26" s="47" t="s">
        <v>21</v>
      </c>
      <c r="K26" s="283">
        <v>192833.16</v>
      </c>
      <c r="L26" s="248">
        <f>K27</f>
        <v>0</v>
      </c>
      <c r="M26" s="248">
        <f>L27</f>
        <v>0</v>
      </c>
      <c r="N26" s="48"/>
    </row>
    <row r="27" spans="1:71">
      <c r="B27" s="413" t="s">
        <v>22</v>
      </c>
      <c r="C27" s="398"/>
      <c r="D27" s="398"/>
      <c r="E27" s="398"/>
      <c r="F27" s="398"/>
      <c r="G27" s="398"/>
      <c r="H27" s="3" t="s">
        <v>23</v>
      </c>
      <c r="I27" s="8" t="s">
        <v>21</v>
      </c>
      <c r="J27" s="49" t="s">
        <v>21</v>
      </c>
      <c r="K27" s="44">
        <f>K26+K28-K54</f>
        <v>0</v>
      </c>
      <c r="L27" s="44">
        <f>L26+L28-L54</f>
        <v>0</v>
      </c>
      <c r="M27" s="44">
        <f t="shared" ref="M27" si="0">M26+M28-M54</f>
        <v>0</v>
      </c>
      <c r="N27" s="50"/>
    </row>
    <row r="28" spans="1:71" s="35" customFormat="1">
      <c r="A28" s="42"/>
      <c r="B28" s="461" t="s">
        <v>24</v>
      </c>
      <c r="C28" s="462"/>
      <c r="D28" s="462"/>
      <c r="E28" s="462"/>
      <c r="F28" s="462"/>
      <c r="G28" s="462"/>
      <c r="H28" s="33" t="s">
        <v>25</v>
      </c>
      <c r="I28" s="34"/>
      <c r="J28" s="51"/>
      <c r="K28" s="87">
        <f>K29+K32+K35+K38+K41+K45+K51</f>
        <v>55681441.840000004</v>
      </c>
      <c r="L28" s="87">
        <f t="shared" ref="L28:M28" si="1">L29+L32+L35+L38+L41+L45+L51</f>
        <v>55422000</v>
      </c>
      <c r="M28" s="87">
        <f t="shared" si="1"/>
        <v>57328543</v>
      </c>
      <c r="N28" s="52"/>
      <c r="O28" s="83"/>
      <c r="P28" s="83"/>
      <c r="Q28" s="83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</row>
    <row r="29" spans="1:71">
      <c r="B29" s="463" t="s">
        <v>26</v>
      </c>
      <c r="C29" s="464"/>
      <c r="D29" s="464"/>
      <c r="E29" s="464"/>
      <c r="F29" s="464"/>
      <c r="G29" s="464"/>
      <c r="H29" s="3" t="s">
        <v>27</v>
      </c>
      <c r="I29" s="8" t="s">
        <v>28</v>
      </c>
      <c r="J29" s="53"/>
      <c r="K29" s="44">
        <f t="shared" ref="K29:M29" si="2">K30</f>
        <v>0</v>
      </c>
      <c r="L29" s="44">
        <f t="shared" si="2"/>
        <v>0</v>
      </c>
      <c r="M29" s="44">
        <f t="shared" si="2"/>
        <v>0</v>
      </c>
      <c r="N29" s="50"/>
    </row>
    <row r="30" spans="1:71">
      <c r="B30" s="452" t="s">
        <v>29</v>
      </c>
      <c r="C30" s="453"/>
      <c r="D30" s="453"/>
      <c r="E30" s="453"/>
      <c r="F30" s="453"/>
      <c r="G30" s="453"/>
      <c r="H30" s="510" t="s">
        <v>30</v>
      </c>
      <c r="I30" s="512"/>
      <c r="J30" s="514"/>
      <c r="K30" s="454"/>
      <c r="L30" s="454"/>
      <c r="M30" s="454"/>
      <c r="N30" s="436"/>
    </row>
    <row r="31" spans="1:71" ht="15.75" thickBot="1">
      <c r="B31" s="455"/>
      <c r="C31" s="456"/>
      <c r="D31" s="456"/>
      <c r="E31" s="456"/>
      <c r="F31" s="456"/>
      <c r="G31" s="456"/>
      <c r="H31" s="515"/>
      <c r="I31" s="516"/>
      <c r="J31" s="514"/>
      <c r="K31" s="454"/>
      <c r="L31" s="454"/>
      <c r="M31" s="454"/>
      <c r="N31" s="436"/>
    </row>
    <row r="32" spans="1:71">
      <c r="B32" s="426" t="s">
        <v>31</v>
      </c>
      <c r="C32" s="427"/>
      <c r="D32" s="427"/>
      <c r="E32" s="427"/>
      <c r="F32" s="427"/>
      <c r="G32" s="427"/>
      <c r="H32" s="2" t="s">
        <v>32</v>
      </c>
      <c r="I32" s="7" t="s">
        <v>33</v>
      </c>
      <c r="J32" s="53"/>
      <c r="K32" s="44">
        <f t="shared" ref="K32:M32" si="3">K33</f>
        <v>44939296</v>
      </c>
      <c r="L32" s="44">
        <f t="shared" si="3"/>
        <v>46427051</v>
      </c>
      <c r="M32" s="44">
        <f t="shared" si="3"/>
        <v>48333594</v>
      </c>
      <c r="N32" s="50"/>
    </row>
    <row r="33" spans="2:16">
      <c r="B33" s="416" t="s">
        <v>34</v>
      </c>
      <c r="C33" s="417"/>
      <c r="D33" s="417"/>
      <c r="E33" s="417"/>
      <c r="F33" s="417"/>
      <c r="G33" s="417"/>
      <c r="H33" s="3" t="s">
        <v>35</v>
      </c>
      <c r="I33" s="8" t="s">
        <v>33</v>
      </c>
      <c r="J33" s="53"/>
      <c r="K33" s="170">
        <f>44894392+44904</f>
        <v>44939296</v>
      </c>
      <c r="L33" s="170">
        <v>46427051</v>
      </c>
      <c r="M33" s="170">
        <v>48333594</v>
      </c>
      <c r="N33" s="50"/>
    </row>
    <row r="34" spans="2:16">
      <c r="B34" s="410"/>
      <c r="C34" s="411"/>
      <c r="D34" s="411"/>
      <c r="E34" s="411"/>
      <c r="F34" s="411"/>
      <c r="G34" s="412"/>
      <c r="H34" s="3"/>
      <c r="I34" s="8"/>
      <c r="J34" s="53"/>
      <c r="K34" s="44"/>
      <c r="L34" s="44"/>
      <c r="M34" s="44"/>
      <c r="N34" s="50"/>
    </row>
    <row r="35" spans="2:16">
      <c r="B35" s="426" t="s">
        <v>36</v>
      </c>
      <c r="C35" s="427"/>
      <c r="D35" s="427"/>
      <c r="E35" s="427"/>
      <c r="F35" s="427"/>
      <c r="G35" s="427"/>
      <c r="H35" s="3" t="s">
        <v>37</v>
      </c>
      <c r="I35" s="8" t="s">
        <v>38</v>
      </c>
      <c r="J35" s="53"/>
      <c r="K35" s="44">
        <f t="shared" ref="K35:M35" si="4">K36</f>
        <v>0</v>
      </c>
      <c r="L35" s="44">
        <f t="shared" si="4"/>
        <v>0</v>
      </c>
      <c r="M35" s="44">
        <f t="shared" si="4"/>
        <v>0</v>
      </c>
      <c r="N35" s="50"/>
    </row>
    <row r="36" spans="2:16">
      <c r="B36" s="452" t="s">
        <v>29</v>
      </c>
      <c r="C36" s="453"/>
      <c r="D36" s="453"/>
      <c r="E36" s="453"/>
      <c r="F36" s="453"/>
      <c r="G36" s="453"/>
      <c r="H36" s="510" t="s">
        <v>39</v>
      </c>
      <c r="I36" s="512" t="s">
        <v>38</v>
      </c>
      <c r="J36" s="514"/>
      <c r="K36" s="505"/>
      <c r="L36" s="505"/>
      <c r="M36" s="505"/>
      <c r="N36" s="436"/>
    </row>
    <row r="37" spans="2:16">
      <c r="B37" s="455"/>
      <c r="C37" s="456"/>
      <c r="D37" s="456"/>
      <c r="E37" s="456"/>
      <c r="F37" s="456"/>
      <c r="G37" s="456"/>
      <c r="H37" s="511"/>
      <c r="I37" s="513"/>
      <c r="J37" s="514"/>
      <c r="K37" s="505"/>
      <c r="L37" s="505"/>
      <c r="M37" s="505"/>
      <c r="N37" s="436"/>
    </row>
    <row r="38" spans="2:16">
      <c r="B38" s="426" t="s">
        <v>40</v>
      </c>
      <c r="C38" s="427"/>
      <c r="D38" s="427"/>
      <c r="E38" s="427"/>
      <c r="F38" s="427"/>
      <c r="G38" s="427"/>
      <c r="H38" s="3" t="s">
        <v>41</v>
      </c>
      <c r="I38" s="8" t="s">
        <v>42</v>
      </c>
      <c r="J38" s="53"/>
      <c r="K38" s="44">
        <f t="shared" ref="K38:M38" si="5">K39</f>
        <v>0</v>
      </c>
      <c r="L38" s="44">
        <f t="shared" si="5"/>
        <v>0</v>
      </c>
      <c r="M38" s="44">
        <f t="shared" si="5"/>
        <v>0</v>
      </c>
      <c r="N38" s="50"/>
    </row>
    <row r="39" spans="2:16">
      <c r="B39" s="442" t="s">
        <v>29</v>
      </c>
      <c r="C39" s="443"/>
      <c r="D39" s="443"/>
      <c r="E39" s="443"/>
      <c r="F39" s="443"/>
      <c r="G39" s="443"/>
      <c r="H39" s="510"/>
      <c r="I39" s="512"/>
      <c r="J39" s="514"/>
      <c r="K39" s="505"/>
      <c r="L39" s="505"/>
      <c r="M39" s="505"/>
      <c r="N39" s="436"/>
    </row>
    <row r="40" spans="2:16">
      <c r="B40" s="450"/>
      <c r="C40" s="429"/>
      <c r="D40" s="429"/>
      <c r="E40" s="429"/>
      <c r="F40" s="429"/>
      <c r="G40" s="429"/>
      <c r="H40" s="511"/>
      <c r="I40" s="513"/>
      <c r="J40" s="514"/>
      <c r="K40" s="505"/>
      <c r="L40" s="505"/>
      <c r="M40" s="505"/>
      <c r="N40" s="436"/>
    </row>
    <row r="41" spans="2:16">
      <c r="B41" s="426" t="s">
        <v>43</v>
      </c>
      <c r="C41" s="427"/>
      <c r="D41" s="427"/>
      <c r="E41" s="427"/>
      <c r="F41" s="427"/>
      <c r="G41" s="427"/>
      <c r="H41" s="3" t="s">
        <v>44</v>
      </c>
      <c r="I41" s="8" t="s">
        <v>45</v>
      </c>
      <c r="J41" s="53"/>
      <c r="K41" s="44">
        <f>K42</f>
        <v>3667499</v>
      </c>
      <c r="L41" s="44">
        <f t="shared" ref="K41:M41" si="6">L42</f>
        <v>1727469</v>
      </c>
      <c r="M41" s="44">
        <f t="shared" si="6"/>
        <v>1727469</v>
      </c>
      <c r="N41" s="50"/>
    </row>
    <row r="42" spans="2:16">
      <c r="B42" s="442" t="s">
        <v>29</v>
      </c>
      <c r="C42" s="443"/>
      <c r="D42" s="443"/>
      <c r="E42" s="443"/>
      <c r="F42" s="443"/>
      <c r="G42" s="443"/>
      <c r="H42" s="510" t="s">
        <v>46</v>
      </c>
      <c r="I42" s="512" t="s">
        <v>45</v>
      </c>
      <c r="J42" s="514"/>
      <c r="K42" s="451">
        <f>2087469+1200030+280000+100000</f>
        <v>3667499</v>
      </c>
      <c r="L42" s="451">
        <v>1727469</v>
      </c>
      <c r="M42" s="451">
        <v>1727469</v>
      </c>
      <c r="N42" s="436"/>
    </row>
    <row r="43" spans="2:16">
      <c r="B43" s="450" t="s">
        <v>47</v>
      </c>
      <c r="C43" s="429"/>
      <c r="D43" s="429"/>
      <c r="E43" s="429"/>
      <c r="F43" s="429"/>
      <c r="G43" s="429"/>
      <c r="H43" s="511"/>
      <c r="I43" s="513"/>
      <c r="J43" s="514"/>
      <c r="K43" s="451"/>
      <c r="L43" s="451"/>
      <c r="M43" s="451"/>
      <c r="N43" s="436"/>
      <c r="P43" s="84"/>
    </row>
    <row r="44" spans="2:16">
      <c r="B44" s="428"/>
      <c r="C44" s="429"/>
      <c r="D44" s="429"/>
      <c r="E44" s="429"/>
      <c r="F44" s="429"/>
      <c r="G44" s="429"/>
      <c r="H44" s="3"/>
      <c r="I44" s="8"/>
      <c r="J44" s="53"/>
      <c r="K44" s="44"/>
      <c r="L44" s="44"/>
      <c r="M44" s="44"/>
      <c r="N44" s="50"/>
      <c r="P44" s="84"/>
    </row>
    <row r="45" spans="2:16">
      <c r="B45" s="426" t="s">
        <v>48</v>
      </c>
      <c r="C45" s="427"/>
      <c r="D45" s="427"/>
      <c r="E45" s="427"/>
      <c r="F45" s="427"/>
      <c r="G45" s="427"/>
      <c r="H45" s="3" t="s">
        <v>49</v>
      </c>
      <c r="I45" s="8"/>
      <c r="J45" s="53"/>
      <c r="K45" s="44">
        <f t="shared" ref="K45:M45" si="7">K46+K48+K49+K50</f>
        <v>7074646.8399999999</v>
      </c>
      <c r="L45" s="44">
        <f t="shared" si="7"/>
        <v>7267480</v>
      </c>
      <c r="M45" s="44">
        <f t="shared" si="7"/>
        <v>7267480</v>
      </c>
      <c r="N45" s="50"/>
    </row>
    <row r="46" spans="2:16">
      <c r="B46" s="442" t="s">
        <v>29</v>
      </c>
      <c r="C46" s="443"/>
      <c r="D46" s="443"/>
      <c r="E46" s="443"/>
      <c r="F46" s="443"/>
      <c r="G46" s="443"/>
      <c r="H46" s="510"/>
      <c r="I46" s="512"/>
      <c r="J46" s="514"/>
      <c r="K46" s="505">
        <v>5908030.6699999999</v>
      </c>
      <c r="L46" s="505">
        <v>6046680</v>
      </c>
      <c r="M46" s="505">
        <v>6046680</v>
      </c>
      <c r="N46" s="436"/>
    </row>
    <row r="47" spans="2:16">
      <c r="B47" s="506" t="s">
        <v>399</v>
      </c>
      <c r="C47" s="507"/>
      <c r="D47" s="507"/>
      <c r="E47" s="507"/>
      <c r="F47" s="507"/>
      <c r="G47" s="507"/>
      <c r="H47" s="511"/>
      <c r="I47" s="513"/>
      <c r="J47" s="514"/>
      <c r="K47" s="505"/>
      <c r="L47" s="505"/>
      <c r="M47" s="505"/>
      <c r="N47" s="436"/>
    </row>
    <row r="48" spans="2:16">
      <c r="B48" s="508" t="s">
        <v>402</v>
      </c>
      <c r="C48" s="509"/>
      <c r="D48" s="509"/>
      <c r="E48" s="509"/>
      <c r="F48" s="509"/>
      <c r="G48" s="509"/>
      <c r="H48" s="3"/>
      <c r="I48" s="8"/>
      <c r="J48" s="53"/>
      <c r="K48" s="170">
        <v>0</v>
      </c>
      <c r="L48" s="170">
        <v>0</v>
      </c>
      <c r="M48" s="170">
        <v>0</v>
      </c>
      <c r="N48" s="50"/>
    </row>
    <row r="49" spans="1:71">
      <c r="B49" s="439" t="s">
        <v>367</v>
      </c>
      <c r="C49" s="440"/>
      <c r="D49" s="440"/>
      <c r="E49" s="440"/>
      <c r="F49" s="440"/>
      <c r="G49" s="440"/>
      <c r="H49" s="3"/>
      <c r="I49" s="8"/>
      <c r="J49" s="53"/>
      <c r="K49" s="170">
        <v>0</v>
      </c>
      <c r="L49" s="170">
        <v>0</v>
      </c>
      <c r="M49" s="170">
        <v>0</v>
      </c>
      <c r="N49" s="50"/>
    </row>
    <row r="50" spans="1:71">
      <c r="B50" s="441" t="s">
        <v>366</v>
      </c>
      <c r="C50" s="438"/>
      <c r="D50" s="438"/>
      <c r="E50" s="438"/>
      <c r="F50" s="438"/>
      <c r="G50" s="438"/>
      <c r="H50" s="3"/>
      <c r="I50" s="8"/>
      <c r="J50" s="53"/>
      <c r="K50" s="189">
        <v>1166616.17</v>
      </c>
      <c r="L50" s="189">
        <v>1220800</v>
      </c>
      <c r="M50" s="284">
        <v>1220800</v>
      </c>
      <c r="N50" s="50"/>
    </row>
    <row r="51" spans="1:71">
      <c r="B51" s="426" t="s">
        <v>50</v>
      </c>
      <c r="C51" s="427"/>
      <c r="D51" s="427"/>
      <c r="E51" s="427"/>
      <c r="F51" s="427"/>
      <c r="G51" s="427"/>
      <c r="H51" s="3" t="s">
        <v>51</v>
      </c>
      <c r="I51" s="8" t="s">
        <v>21</v>
      </c>
      <c r="J51" s="53"/>
      <c r="K51" s="44">
        <f t="shared" ref="K51:M51" si="8">K52</f>
        <v>0</v>
      </c>
      <c r="L51" s="44">
        <f t="shared" si="8"/>
        <v>0</v>
      </c>
      <c r="M51" s="44">
        <f t="shared" si="8"/>
        <v>0</v>
      </c>
      <c r="N51" s="50"/>
    </row>
    <row r="52" spans="1:71">
      <c r="B52" s="416" t="s">
        <v>52</v>
      </c>
      <c r="C52" s="417"/>
      <c r="D52" s="417"/>
      <c r="E52" s="417"/>
      <c r="F52" s="417"/>
      <c r="G52" s="417"/>
      <c r="H52" s="3" t="s">
        <v>53</v>
      </c>
      <c r="I52" s="8" t="s">
        <v>54</v>
      </c>
      <c r="J52" s="53"/>
      <c r="K52" s="44"/>
      <c r="L52" s="44"/>
      <c r="M52" s="44"/>
      <c r="N52" s="50" t="s">
        <v>21</v>
      </c>
    </row>
    <row r="53" spans="1:71" ht="15.75" thickBot="1">
      <c r="B53" s="428"/>
      <c r="C53" s="429"/>
      <c r="D53" s="429"/>
      <c r="E53" s="429"/>
      <c r="F53" s="429"/>
      <c r="G53" s="429"/>
      <c r="H53" s="3"/>
      <c r="I53" s="8"/>
      <c r="J53" s="53"/>
      <c r="K53" s="44"/>
      <c r="L53" s="44"/>
      <c r="M53" s="44"/>
      <c r="N53" s="50"/>
      <c r="O53" s="83" t="s">
        <v>340</v>
      </c>
      <c r="P53" s="83">
        <v>2020</v>
      </c>
      <c r="Q53" s="83">
        <v>2021</v>
      </c>
      <c r="R53" s="42">
        <v>2022</v>
      </c>
    </row>
    <row r="54" spans="1:71" s="43" customFormat="1">
      <c r="A54" s="42"/>
      <c r="B54" s="430" t="s">
        <v>55</v>
      </c>
      <c r="C54" s="431"/>
      <c r="D54" s="431"/>
      <c r="E54" s="431"/>
      <c r="F54" s="431"/>
      <c r="G54" s="431"/>
      <c r="H54" s="62" t="s">
        <v>56</v>
      </c>
      <c r="I54" s="63" t="s">
        <v>21</v>
      </c>
      <c r="J54" s="64"/>
      <c r="K54" s="86">
        <f>K55+K89+K92+K116+K126+K128+K302</f>
        <v>55874275</v>
      </c>
      <c r="L54" s="86">
        <f>L55+L89+L92+L116+L126+L128+L302</f>
        <v>55422000</v>
      </c>
      <c r="M54" s="86">
        <f>M55+M89+M92+M116+M126+M128+M302</f>
        <v>57328543</v>
      </c>
      <c r="N54" s="269"/>
      <c r="O54" s="270" t="s">
        <v>189</v>
      </c>
      <c r="P54" s="271">
        <f>K57+K74+K95+K145+K167++K185+K203+K224+K247+K265+K283+K243</f>
        <v>7267480</v>
      </c>
      <c r="Q54" s="271">
        <f>L57+L74+L95+L145+L167++L185+L203+L224+L247+L265+L283+L243</f>
        <v>7267480</v>
      </c>
      <c r="R54" s="272">
        <f>M57+M74+M95+M145+M167++M185+M203+M224+M247+M265+M283+M243</f>
        <v>7267480</v>
      </c>
      <c r="S54" s="42"/>
      <c r="T54" s="280"/>
      <c r="U54" s="280"/>
      <c r="V54" s="280"/>
      <c r="W54" s="280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</row>
    <row r="55" spans="1:71" s="38" customFormat="1">
      <c r="A55" s="42"/>
      <c r="B55" s="432" t="s">
        <v>57</v>
      </c>
      <c r="C55" s="433"/>
      <c r="D55" s="433"/>
      <c r="E55" s="433"/>
      <c r="F55" s="433"/>
      <c r="G55" s="433"/>
      <c r="H55" s="36" t="s">
        <v>58</v>
      </c>
      <c r="I55" s="37" t="s">
        <v>21</v>
      </c>
      <c r="J55" s="54"/>
      <c r="K55" s="45">
        <f>K56+K73</f>
        <v>30970421.039999999</v>
      </c>
      <c r="L55" s="45">
        <f>L56+L73</f>
        <v>32088444.879999999</v>
      </c>
      <c r="M55" s="45">
        <f t="shared" ref="M55" si="9">M56+M73</f>
        <v>33382005.879999999</v>
      </c>
      <c r="N55" s="220" t="s">
        <v>21</v>
      </c>
      <c r="O55" s="279" t="s">
        <v>400</v>
      </c>
      <c r="P55" s="169">
        <f>K58+K75+K96+K147+K169++K187+K205+K226+K249+K267+K285+K91+K119</f>
        <v>10726902</v>
      </c>
      <c r="Q55" s="169">
        <f>L58+L75+L96+L147+L169++L187+L205+L226+L249+L267+L286+L119+L91</f>
        <v>10936787</v>
      </c>
      <c r="R55" s="273">
        <f>M58+M75+M96+M147+M169++M187+M205+M226+M249+M267+M286+M119+M91</f>
        <v>11440602</v>
      </c>
      <c r="S55" s="42"/>
      <c r="T55" s="281"/>
      <c r="U55" s="281"/>
      <c r="V55" s="281"/>
      <c r="W55" s="280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</row>
    <row r="56" spans="1:71">
      <c r="B56" s="416" t="s">
        <v>59</v>
      </c>
      <c r="C56" s="417"/>
      <c r="D56" s="417"/>
      <c r="E56" s="417"/>
      <c r="F56" s="417"/>
      <c r="G56" s="417"/>
      <c r="H56" s="3" t="s">
        <v>60</v>
      </c>
      <c r="I56" s="8" t="s">
        <v>61</v>
      </c>
      <c r="J56" s="167" t="s">
        <v>327</v>
      </c>
      <c r="K56" s="163">
        <f>SUM(K57:K65)</f>
        <v>30733267.039999999</v>
      </c>
      <c r="L56" s="163">
        <f t="shared" ref="L56:M56" si="10">SUM(L57:L65)</f>
        <v>32078344.879999999</v>
      </c>
      <c r="M56" s="163">
        <f t="shared" si="10"/>
        <v>33371905.879999999</v>
      </c>
      <c r="N56" s="171" t="s">
        <v>21</v>
      </c>
      <c r="O56" s="249" t="s">
        <v>190</v>
      </c>
      <c r="P56" s="169">
        <f>K59+K76+K97</f>
        <v>82805</v>
      </c>
      <c r="Q56" s="169">
        <f>L59+L76+L97</f>
        <v>82805</v>
      </c>
      <c r="R56" s="273">
        <f>M59+M76+M97</f>
        <v>82805</v>
      </c>
      <c r="T56" s="280"/>
      <c r="U56" s="280"/>
      <c r="V56" s="280"/>
      <c r="W56" s="280"/>
    </row>
    <row r="57" spans="1:71">
      <c r="B57" s="89"/>
      <c r="C57" s="90"/>
      <c r="D57" s="90"/>
      <c r="E57" s="90"/>
      <c r="F57" s="90"/>
      <c r="G57" s="90"/>
      <c r="H57" s="3"/>
      <c r="I57" s="8"/>
      <c r="J57" s="162" t="s">
        <v>189</v>
      </c>
      <c r="K57" s="286">
        <v>686346.88</v>
      </c>
      <c r="L57" s="286">
        <v>686346.88</v>
      </c>
      <c r="M57" s="286">
        <v>686346.88</v>
      </c>
      <c r="N57" s="171"/>
      <c r="O57" s="249" t="s">
        <v>329</v>
      </c>
      <c r="P57" s="169">
        <f>K60+K77++K98</f>
        <v>1573299</v>
      </c>
      <c r="Q57" s="169">
        <f>L60+L77++L98</f>
        <v>1573299</v>
      </c>
      <c r="R57" s="273">
        <f>M60+M77++M98</f>
        <v>1573299</v>
      </c>
    </row>
    <row r="58" spans="1:71">
      <c r="B58" s="410"/>
      <c r="C58" s="411"/>
      <c r="D58" s="411"/>
      <c r="E58" s="411"/>
      <c r="F58" s="411"/>
      <c r="G58" s="412"/>
      <c r="H58" s="3"/>
      <c r="I58" s="8"/>
      <c r="J58" s="279" t="s">
        <v>400</v>
      </c>
      <c r="K58" s="286">
        <f>4056110</f>
        <v>4056110</v>
      </c>
      <c r="L58" s="286">
        <f>4122866</f>
        <v>4122866</v>
      </c>
      <c r="M58" s="286">
        <f>4339063</f>
        <v>4339063</v>
      </c>
      <c r="N58" s="171"/>
      <c r="O58" s="250" t="s">
        <v>191</v>
      </c>
      <c r="P58" s="169">
        <f>K61+K78+K99+K148+K170++K188+K206+K227+K250+K286+K305</f>
        <v>32556290</v>
      </c>
      <c r="Q58" s="169">
        <f>L61+L78+L99+L148+L170++L188+L206+L227+L250+L268+L286</f>
        <v>33903160</v>
      </c>
      <c r="R58" s="273">
        <f>M61+M78+M99+M148+M170++M188+M206+M227+M250+M268+M286</f>
        <v>35305888</v>
      </c>
    </row>
    <row r="59" spans="1:71">
      <c r="B59" s="94"/>
      <c r="C59" s="95"/>
      <c r="D59" s="95"/>
      <c r="E59" s="95"/>
      <c r="F59" s="95"/>
      <c r="G59" s="96"/>
      <c r="H59" s="3"/>
      <c r="I59" s="8"/>
      <c r="J59" s="162" t="s">
        <v>190</v>
      </c>
      <c r="K59" s="286">
        <v>63598</v>
      </c>
      <c r="L59" s="286">
        <v>63598</v>
      </c>
      <c r="M59" s="286">
        <v>63598</v>
      </c>
      <c r="N59" s="171"/>
      <c r="O59" s="249" t="s">
        <v>192</v>
      </c>
      <c r="P59" s="282">
        <f>K244</f>
        <v>1590759</v>
      </c>
      <c r="Q59" s="169">
        <f>L244</f>
        <v>1590759</v>
      </c>
      <c r="R59" s="273">
        <f>M244</f>
        <v>1590759</v>
      </c>
      <c r="V59" s="42" t="s">
        <v>363</v>
      </c>
    </row>
    <row r="60" spans="1:71">
      <c r="B60" s="94"/>
      <c r="C60" s="95"/>
      <c r="D60" s="95"/>
      <c r="E60" s="95"/>
      <c r="F60" s="95"/>
      <c r="G60" s="96"/>
      <c r="H60" s="3"/>
      <c r="I60" s="8"/>
      <c r="J60" s="162" t="s">
        <v>329</v>
      </c>
      <c r="K60" s="286">
        <v>1208371</v>
      </c>
      <c r="L60" s="286">
        <v>1208371</v>
      </c>
      <c r="M60" s="286">
        <v>1208371</v>
      </c>
      <c r="N60" s="171"/>
      <c r="O60" s="249" t="s">
        <v>193</v>
      </c>
      <c r="P60" s="169">
        <f>K135+K252+K229+K208+K190</f>
        <v>1480030</v>
      </c>
      <c r="Q60" s="169">
        <f t="shared" ref="Q60:R60" si="11">L135+L252+L229+L208</f>
        <v>0</v>
      </c>
      <c r="R60" s="273">
        <f t="shared" si="11"/>
        <v>0</v>
      </c>
    </row>
    <row r="61" spans="1:71">
      <c r="B61" s="410"/>
      <c r="C61" s="411"/>
      <c r="D61" s="411"/>
      <c r="E61" s="411"/>
      <c r="F61" s="411"/>
      <c r="G61" s="412"/>
      <c r="H61" s="3"/>
      <c r="I61" s="8"/>
      <c r="J61" s="162" t="s">
        <v>191</v>
      </c>
      <c r="K61" s="286">
        <f>24551357+34488+27996.16</f>
        <v>24613841.16</v>
      </c>
      <c r="L61" s="286">
        <v>25892163</v>
      </c>
      <c r="M61" s="286">
        <v>26969527</v>
      </c>
      <c r="N61" s="171"/>
      <c r="O61" s="162" t="s">
        <v>194</v>
      </c>
      <c r="P61" s="252">
        <f>K221</f>
        <v>360000</v>
      </c>
      <c r="Q61" s="169">
        <f>L207</f>
        <v>0</v>
      </c>
      <c r="R61" s="273">
        <f>M207</f>
        <v>0</v>
      </c>
    </row>
    <row r="62" spans="1:71">
      <c r="B62" s="94"/>
      <c r="C62" s="95"/>
      <c r="D62" s="95"/>
      <c r="E62" s="95"/>
      <c r="F62" s="95"/>
      <c r="G62" s="96"/>
      <c r="H62" s="3"/>
      <c r="I62" s="8"/>
      <c r="J62" s="162" t="s">
        <v>344</v>
      </c>
      <c r="K62" s="286">
        <v>105000</v>
      </c>
      <c r="L62" s="286">
        <v>105000</v>
      </c>
      <c r="M62" s="286">
        <v>105000</v>
      </c>
      <c r="N62" s="171"/>
      <c r="O62" s="249" t="s">
        <v>594</v>
      </c>
      <c r="P62" s="252">
        <f>K189</f>
        <v>100000</v>
      </c>
      <c r="Q62" s="169"/>
      <c r="R62" s="273"/>
    </row>
    <row r="63" spans="1:71" hidden="1">
      <c r="B63" s="94"/>
      <c r="C63" s="95"/>
      <c r="D63" s="95"/>
      <c r="E63" s="95"/>
      <c r="F63" s="95"/>
      <c r="G63" s="96"/>
      <c r="H63" s="3"/>
      <c r="I63" s="8"/>
      <c r="J63" s="162" t="s">
        <v>345</v>
      </c>
      <c r="K63" s="180">
        <v>0</v>
      </c>
      <c r="L63" s="180">
        <v>0</v>
      </c>
      <c r="M63" s="180">
        <v>0</v>
      </c>
      <c r="N63" s="171"/>
      <c r="O63" s="249" t="s">
        <v>344</v>
      </c>
      <c r="P63" s="252">
        <f t="shared" ref="P63:R64" si="12">K62+K100</f>
        <v>136710</v>
      </c>
      <c r="Q63" s="169">
        <f t="shared" si="12"/>
        <v>136710</v>
      </c>
      <c r="R63" s="273">
        <f t="shared" si="12"/>
        <v>136710</v>
      </c>
    </row>
    <row r="64" spans="1:71" hidden="1">
      <c r="B64" s="410"/>
      <c r="C64" s="411"/>
      <c r="D64" s="411"/>
      <c r="E64" s="411"/>
      <c r="F64" s="411"/>
      <c r="G64" s="412"/>
      <c r="H64" s="3"/>
      <c r="I64" s="8"/>
      <c r="J64" s="162" t="s">
        <v>350</v>
      </c>
      <c r="K64" s="180"/>
      <c r="L64" s="180"/>
      <c r="M64" s="180"/>
      <c r="N64" s="171"/>
      <c r="O64" s="162" t="s">
        <v>345</v>
      </c>
      <c r="P64" s="252">
        <f t="shared" si="12"/>
        <v>0</v>
      </c>
      <c r="Q64" s="169">
        <f t="shared" si="12"/>
        <v>0</v>
      </c>
      <c r="R64" s="273">
        <f t="shared" si="12"/>
        <v>0</v>
      </c>
      <c r="V64" s="42" t="s">
        <v>363</v>
      </c>
    </row>
    <row r="65" spans="2:18" hidden="1">
      <c r="B65" s="94"/>
      <c r="C65" s="95"/>
      <c r="D65" s="95"/>
      <c r="E65" s="95"/>
      <c r="F65" s="95"/>
      <c r="G65" s="96"/>
      <c r="H65" s="3"/>
      <c r="I65" s="8"/>
      <c r="J65" s="162" t="s">
        <v>351</v>
      </c>
      <c r="K65" s="180"/>
      <c r="L65" s="180"/>
      <c r="M65" s="180"/>
      <c r="N65" s="171"/>
      <c r="O65" s="162" t="s">
        <v>346</v>
      </c>
      <c r="P65" s="169">
        <f>K272+K210</f>
        <v>0</v>
      </c>
      <c r="Q65" s="169">
        <f>L272+L210</f>
        <v>0</v>
      </c>
      <c r="R65" s="273">
        <f>M272+M210</f>
        <v>0</v>
      </c>
    </row>
    <row r="66" spans="2:18" hidden="1">
      <c r="B66" s="259"/>
      <c r="C66" s="260"/>
      <c r="D66" s="260"/>
      <c r="E66" s="260"/>
      <c r="F66" s="260"/>
      <c r="G66" s="261"/>
      <c r="H66" s="3"/>
      <c r="I66" s="8"/>
      <c r="J66" s="162"/>
      <c r="K66" s="263"/>
      <c r="L66" s="263"/>
      <c r="M66" s="263"/>
      <c r="N66" s="171"/>
      <c r="O66" s="162"/>
      <c r="P66" s="169"/>
      <c r="Q66" s="169"/>
      <c r="R66" s="273"/>
    </row>
    <row r="67" spans="2:18" hidden="1">
      <c r="B67" s="259"/>
      <c r="C67" s="260"/>
      <c r="D67" s="260"/>
      <c r="E67" s="260"/>
      <c r="F67" s="260"/>
      <c r="G67" s="261"/>
      <c r="H67" s="3"/>
      <c r="I67" s="8"/>
      <c r="J67" s="162"/>
      <c r="K67" s="263"/>
      <c r="L67" s="263"/>
      <c r="M67" s="263"/>
      <c r="N67" s="171"/>
      <c r="O67" s="162"/>
      <c r="P67" s="169"/>
      <c r="Q67" s="169"/>
      <c r="R67" s="273"/>
    </row>
    <row r="68" spans="2:18" hidden="1">
      <c r="B68" s="259"/>
      <c r="C68" s="260"/>
      <c r="D68" s="260"/>
      <c r="E68" s="260"/>
      <c r="F68" s="260"/>
      <c r="G68" s="261"/>
      <c r="H68" s="3"/>
      <c r="I68" s="8"/>
      <c r="J68" s="162"/>
      <c r="K68" s="263"/>
      <c r="L68" s="263"/>
      <c r="M68" s="263"/>
      <c r="N68" s="171"/>
      <c r="O68" s="162"/>
      <c r="P68" s="169"/>
      <c r="Q68" s="169"/>
      <c r="R68" s="273"/>
    </row>
    <row r="69" spans="2:18" hidden="1">
      <c r="B69" s="259"/>
      <c r="C69" s="260"/>
      <c r="D69" s="260"/>
      <c r="E69" s="260"/>
      <c r="F69" s="260"/>
      <c r="G69" s="261"/>
      <c r="H69" s="3"/>
      <c r="I69" s="8"/>
      <c r="J69" s="162"/>
      <c r="K69" s="263"/>
      <c r="L69" s="263"/>
      <c r="M69" s="263"/>
      <c r="N69" s="171"/>
      <c r="O69" s="162"/>
      <c r="P69" s="169"/>
      <c r="Q69" s="169"/>
      <c r="R69" s="273"/>
    </row>
    <row r="70" spans="2:18" hidden="1">
      <c r="B70" s="259"/>
      <c r="C70" s="260"/>
      <c r="D70" s="260"/>
      <c r="E70" s="260"/>
      <c r="F70" s="260"/>
      <c r="G70" s="261"/>
      <c r="H70" s="3"/>
      <c r="I70" s="8"/>
      <c r="J70" s="162"/>
      <c r="K70" s="263"/>
      <c r="L70" s="263"/>
      <c r="M70" s="263"/>
      <c r="N70" s="171"/>
      <c r="O70" s="162"/>
      <c r="P70" s="169"/>
      <c r="Q70" s="169"/>
      <c r="R70" s="273"/>
    </row>
    <row r="71" spans="2:18" hidden="1">
      <c r="B71" s="259"/>
      <c r="C71" s="260"/>
      <c r="D71" s="260"/>
      <c r="E71" s="260"/>
      <c r="F71" s="260"/>
      <c r="G71" s="261"/>
      <c r="H71" s="3"/>
      <c r="I71" s="8"/>
      <c r="J71" s="162"/>
      <c r="K71" s="263"/>
      <c r="L71" s="263"/>
      <c r="M71" s="263"/>
      <c r="N71" s="171"/>
      <c r="O71" s="162"/>
      <c r="P71" s="169"/>
      <c r="Q71" s="169"/>
      <c r="R71" s="273"/>
    </row>
    <row r="72" spans="2:18" hidden="1">
      <c r="B72" s="94"/>
      <c r="C72" s="95"/>
      <c r="D72" s="95"/>
      <c r="E72" s="95"/>
      <c r="F72" s="95"/>
      <c r="G72" s="96"/>
      <c r="H72" s="3"/>
      <c r="I72" s="8"/>
      <c r="J72" s="49"/>
      <c r="K72" s="93"/>
      <c r="L72" s="93"/>
      <c r="M72" s="93"/>
      <c r="N72" s="171"/>
      <c r="O72" s="162" t="s">
        <v>350</v>
      </c>
      <c r="P72" s="169">
        <f>K64+K81+K102+K154+K176+K194+K212+K233+K256+K274+K292</f>
        <v>0</v>
      </c>
      <c r="Q72" s="169">
        <f>L64+L81+L102+L154+L176+L194+L212+L233+L256+L274+L292</f>
        <v>0</v>
      </c>
      <c r="R72" s="273">
        <f>M64+M81+M102+M154+M176+M194+M212+M233+M256+M274+M292</f>
        <v>0</v>
      </c>
    </row>
    <row r="73" spans="2:18">
      <c r="B73" s="410"/>
      <c r="C73" s="411"/>
      <c r="D73" s="411"/>
      <c r="E73" s="411"/>
      <c r="F73" s="411"/>
      <c r="G73" s="412"/>
      <c r="H73" s="3"/>
      <c r="I73" s="8"/>
      <c r="J73" s="167" t="s">
        <v>328</v>
      </c>
      <c r="K73" s="163">
        <f>SUM(K74:K82)</f>
        <v>237154</v>
      </c>
      <c r="L73" s="163">
        <f t="shared" ref="L73:M73" si="13">SUM(L74:L82)</f>
        <v>10100</v>
      </c>
      <c r="M73" s="163">
        <f t="shared" si="13"/>
        <v>10100</v>
      </c>
      <c r="N73" s="171"/>
      <c r="O73" s="162" t="s">
        <v>351</v>
      </c>
      <c r="P73" s="169">
        <f>K65+K82+K103+K155+K177+K195+K213+K234+K257+K275+K293+K120</f>
        <v>0</v>
      </c>
      <c r="Q73" s="169">
        <f>L65+L82+L103+L155+L177+L195+L213+L234+L257+L275+L293+L120</f>
        <v>0</v>
      </c>
      <c r="R73" s="273">
        <f>M65+M82+M103+M155+M177+M195+M213+M234+M257+M275+M293+M120</f>
        <v>0</v>
      </c>
    </row>
    <row r="74" spans="2:18" ht="15.75" hidden="1" thickBot="1">
      <c r="B74" s="94"/>
      <c r="C74" s="95"/>
      <c r="D74" s="95"/>
      <c r="E74" s="95"/>
      <c r="F74" s="95"/>
      <c r="G74" s="96"/>
      <c r="H74" s="3"/>
      <c r="I74" s="8"/>
      <c r="J74" s="162" t="s">
        <v>189</v>
      </c>
      <c r="K74" s="93"/>
      <c r="L74" s="93"/>
      <c r="M74" s="93"/>
      <c r="N74" s="171"/>
      <c r="O74" s="274" t="s">
        <v>397</v>
      </c>
      <c r="P74" s="275"/>
      <c r="Q74" s="275"/>
      <c r="R74" s="276"/>
    </row>
    <row r="75" spans="2:18">
      <c r="B75" s="94"/>
      <c r="C75" s="95"/>
      <c r="D75" s="95"/>
      <c r="E75" s="95"/>
      <c r="F75" s="95"/>
      <c r="G75" s="96"/>
      <c r="H75" s="3"/>
      <c r="I75" s="8"/>
      <c r="J75" s="279" t="s">
        <v>400</v>
      </c>
      <c r="K75" s="286">
        <v>10100</v>
      </c>
      <c r="L75" s="286">
        <v>10100</v>
      </c>
      <c r="M75" s="286">
        <v>10100</v>
      </c>
      <c r="N75" s="88"/>
      <c r="O75" s="84"/>
      <c r="P75" s="84">
        <f>SUM(P54:P74)</f>
        <v>55874275</v>
      </c>
      <c r="Q75" s="84">
        <f>SUM(Q54:Q74)</f>
        <v>55491000</v>
      </c>
      <c r="R75" s="84">
        <f>SUM(R54:R74)</f>
        <v>57397543</v>
      </c>
    </row>
    <row r="76" spans="2:18" hidden="1">
      <c r="B76" s="102"/>
      <c r="C76" s="103"/>
      <c r="D76" s="103"/>
      <c r="E76" s="103"/>
      <c r="F76" s="103"/>
      <c r="G76" s="104"/>
      <c r="H76" s="3"/>
      <c r="I76" s="8"/>
      <c r="J76" s="162" t="s">
        <v>190</v>
      </c>
      <c r="K76" s="163">
        <v>0</v>
      </c>
      <c r="L76" s="163">
        <v>0</v>
      </c>
      <c r="M76" s="163">
        <v>0</v>
      </c>
      <c r="N76" s="106"/>
      <c r="O76" s="84"/>
      <c r="P76" s="84"/>
      <c r="Q76" s="84"/>
    </row>
    <row r="77" spans="2:18" hidden="1">
      <c r="B77" s="410"/>
      <c r="C77" s="411"/>
      <c r="D77" s="411"/>
      <c r="E77" s="411"/>
      <c r="F77" s="411"/>
      <c r="G77" s="412"/>
      <c r="H77" s="3"/>
      <c r="I77" s="8"/>
      <c r="J77" s="162" t="s">
        <v>329</v>
      </c>
      <c r="K77" s="286">
        <v>0</v>
      </c>
      <c r="L77" s="286">
        <v>0</v>
      </c>
      <c r="M77" s="286">
        <v>0</v>
      </c>
      <c r="N77" s="50"/>
      <c r="O77" s="84"/>
      <c r="P77" s="84"/>
      <c r="Q77" s="84"/>
    </row>
    <row r="78" spans="2:18">
      <c r="B78" s="410"/>
      <c r="C78" s="411"/>
      <c r="D78" s="411"/>
      <c r="E78" s="411"/>
      <c r="F78" s="411"/>
      <c r="G78" s="412"/>
      <c r="H78" s="3"/>
      <c r="I78" s="8"/>
      <c r="J78" s="162" t="s">
        <v>191</v>
      </c>
      <c r="K78" s="286">
        <v>227054</v>
      </c>
      <c r="L78" s="163">
        <v>0</v>
      </c>
      <c r="M78" s="163">
        <v>0</v>
      </c>
      <c r="N78" s="50"/>
      <c r="O78" s="84"/>
      <c r="P78" s="84"/>
      <c r="Q78" s="84"/>
      <c r="R78" s="84"/>
    </row>
    <row r="79" spans="2:18" hidden="1">
      <c r="B79" s="410"/>
      <c r="C79" s="411"/>
      <c r="D79" s="411"/>
      <c r="E79" s="411"/>
      <c r="F79" s="411"/>
      <c r="G79" s="412"/>
      <c r="H79" s="3"/>
      <c r="I79" s="8"/>
      <c r="J79" s="162" t="s">
        <v>344</v>
      </c>
      <c r="K79" s="44"/>
      <c r="L79" s="105"/>
      <c r="M79" s="105"/>
      <c r="N79" s="50"/>
      <c r="O79" s="84"/>
      <c r="P79" s="84"/>
      <c r="Q79" s="84"/>
    </row>
    <row r="80" spans="2:18" hidden="1">
      <c r="B80" s="172"/>
      <c r="C80" s="173"/>
      <c r="D80" s="173"/>
      <c r="E80" s="173"/>
      <c r="F80" s="173"/>
      <c r="G80" s="173"/>
      <c r="H80" s="3"/>
      <c r="I80" s="8"/>
      <c r="J80" s="162" t="s">
        <v>345</v>
      </c>
      <c r="K80" s="163"/>
      <c r="L80" s="163"/>
      <c r="M80" s="163"/>
      <c r="N80" s="106"/>
      <c r="O80" s="84"/>
      <c r="P80" s="84"/>
      <c r="Q80" s="84"/>
    </row>
    <row r="81" spans="1:71" hidden="1">
      <c r="B81" s="172"/>
      <c r="C81" s="173"/>
      <c r="D81" s="173"/>
      <c r="E81" s="173"/>
      <c r="F81" s="173"/>
      <c r="G81" s="173"/>
      <c r="H81" s="3"/>
      <c r="I81" s="8"/>
      <c r="J81" s="162" t="s">
        <v>350</v>
      </c>
      <c r="K81" s="105"/>
      <c r="L81" s="105"/>
      <c r="M81" s="105"/>
      <c r="N81" s="106"/>
      <c r="O81" s="84"/>
      <c r="P81" s="84"/>
      <c r="Q81" s="84"/>
    </row>
    <row r="82" spans="1:71" hidden="1">
      <c r="B82" s="172"/>
      <c r="C82" s="173"/>
      <c r="D82" s="173"/>
      <c r="E82" s="173"/>
      <c r="F82" s="173"/>
      <c r="G82" s="173"/>
      <c r="H82" s="3"/>
      <c r="I82" s="8"/>
      <c r="J82" s="162" t="s">
        <v>351</v>
      </c>
      <c r="K82" s="180"/>
      <c r="L82" s="180"/>
      <c r="M82" s="180"/>
      <c r="N82" s="106"/>
      <c r="O82" s="84"/>
      <c r="P82" s="84"/>
      <c r="Q82" s="84"/>
    </row>
    <row r="83" spans="1:71" hidden="1">
      <c r="B83" s="172"/>
      <c r="C83" s="173"/>
      <c r="D83" s="173"/>
      <c r="E83" s="173"/>
      <c r="F83" s="173"/>
      <c r="G83" s="173"/>
      <c r="H83" s="3"/>
      <c r="I83" s="8"/>
      <c r="J83" s="162"/>
      <c r="K83" s="263"/>
      <c r="L83" s="263"/>
      <c r="M83" s="263"/>
      <c r="N83" s="262"/>
      <c r="O83" s="84"/>
      <c r="P83" s="84"/>
      <c r="Q83" s="84"/>
    </row>
    <row r="84" spans="1:71" hidden="1">
      <c r="B84" s="172"/>
      <c r="C84" s="173"/>
      <c r="D84" s="173"/>
      <c r="E84" s="173"/>
      <c r="F84" s="173"/>
      <c r="G84" s="173"/>
      <c r="H84" s="3"/>
      <c r="I84" s="8"/>
      <c r="J84" s="162"/>
      <c r="K84" s="263"/>
      <c r="L84" s="263"/>
      <c r="M84" s="263"/>
      <c r="N84" s="262"/>
      <c r="O84" s="84"/>
      <c r="P84" s="84"/>
      <c r="Q84" s="84"/>
    </row>
    <row r="85" spans="1:71" hidden="1">
      <c r="B85" s="172"/>
      <c r="C85" s="173"/>
      <c r="D85" s="173"/>
      <c r="E85" s="173"/>
      <c r="F85" s="173"/>
      <c r="G85" s="173"/>
      <c r="H85" s="3"/>
      <c r="I85" s="8"/>
      <c r="J85" s="162"/>
      <c r="K85" s="263"/>
      <c r="L85" s="263"/>
      <c r="M85" s="263"/>
      <c r="N85" s="262"/>
      <c r="O85" s="84"/>
      <c r="P85" s="84"/>
      <c r="Q85" s="84"/>
    </row>
    <row r="86" spans="1:71" hidden="1">
      <c r="B86" s="172"/>
      <c r="C86" s="173"/>
      <c r="D86" s="173"/>
      <c r="E86" s="173"/>
      <c r="F86" s="173"/>
      <c r="G86" s="173"/>
      <c r="H86" s="3"/>
      <c r="I86" s="8"/>
      <c r="J86" s="162"/>
      <c r="K86" s="263"/>
      <c r="L86" s="263"/>
      <c r="M86" s="263"/>
      <c r="N86" s="262"/>
      <c r="O86" s="84"/>
      <c r="P86" s="84"/>
      <c r="Q86" s="84"/>
    </row>
    <row r="87" spans="1:71" hidden="1">
      <c r="B87" s="172"/>
      <c r="C87" s="173"/>
      <c r="D87" s="173"/>
      <c r="E87" s="173"/>
      <c r="F87" s="173"/>
      <c r="G87" s="173"/>
      <c r="H87" s="3"/>
      <c r="I87" s="8"/>
      <c r="J87" s="49"/>
      <c r="K87" s="105"/>
      <c r="L87" s="105"/>
      <c r="M87" s="105"/>
      <c r="N87" s="106"/>
      <c r="O87" s="84"/>
      <c r="P87" s="84"/>
      <c r="Q87" s="84"/>
    </row>
    <row r="88" spans="1:71" hidden="1">
      <c r="B88" s="172"/>
      <c r="C88" s="173"/>
      <c r="D88" s="173"/>
      <c r="E88" s="173"/>
      <c r="F88" s="173"/>
      <c r="G88" s="173"/>
      <c r="H88" s="3"/>
      <c r="I88" s="8"/>
      <c r="J88" s="49"/>
      <c r="K88" s="105"/>
      <c r="L88" s="105"/>
      <c r="M88" s="105"/>
      <c r="N88" s="106"/>
      <c r="O88" s="84"/>
      <c r="P88" s="84"/>
      <c r="Q88" s="84"/>
    </row>
    <row r="89" spans="1:71" s="38" customFormat="1">
      <c r="A89" s="42"/>
      <c r="B89" s="420" t="s">
        <v>62</v>
      </c>
      <c r="C89" s="421"/>
      <c r="D89" s="421"/>
      <c r="E89" s="421"/>
      <c r="F89" s="421"/>
      <c r="G89" s="421"/>
      <c r="H89" s="36" t="s">
        <v>63</v>
      </c>
      <c r="I89" s="37" t="s">
        <v>64</v>
      </c>
      <c r="J89" s="54"/>
      <c r="K89" s="45">
        <f>K90</f>
        <v>9000</v>
      </c>
      <c r="L89" s="45">
        <f>L90</f>
        <v>9000</v>
      </c>
      <c r="M89" s="45">
        <f>M90</f>
        <v>9000</v>
      </c>
      <c r="N89" s="55" t="s">
        <v>21</v>
      </c>
      <c r="O89" s="84"/>
      <c r="P89" s="84">
        <v>55874275</v>
      </c>
      <c r="Q89" s="84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</row>
    <row r="90" spans="1:71" s="42" customFormat="1">
      <c r="B90" s="68"/>
      <c r="C90" s="39"/>
      <c r="D90" s="39"/>
      <c r="E90" s="39"/>
      <c r="F90" s="39"/>
      <c r="G90" s="39"/>
      <c r="H90" s="40"/>
      <c r="I90" s="41"/>
      <c r="J90" s="167"/>
      <c r="K90" s="168">
        <f>K91</f>
        <v>9000</v>
      </c>
      <c r="L90" s="168">
        <f t="shared" ref="L90:M90" si="14">L91</f>
        <v>9000</v>
      </c>
      <c r="M90" s="168">
        <f t="shared" si="14"/>
        <v>9000</v>
      </c>
      <c r="N90" s="56"/>
      <c r="O90" s="85"/>
      <c r="P90" s="85"/>
      <c r="Q90" s="85"/>
    </row>
    <row r="91" spans="1:71" s="42" customFormat="1">
      <c r="B91" s="68"/>
      <c r="C91" s="39"/>
      <c r="D91" s="39"/>
      <c r="E91" s="39"/>
      <c r="F91" s="39"/>
      <c r="G91" s="39"/>
      <c r="H91" s="40"/>
      <c r="I91" s="41"/>
      <c r="J91" s="279" t="s">
        <v>400</v>
      </c>
      <c r="K91" s="46">
        <v>9000</v>
      </c>
      <c r="L91" s="46">
        <v>9000</v>
      </c>
      <c r="M91" s="46">
        <v>9000</v>
      </c>
      <c r="N91" s="56"/>
      <c r="O91" s="83"/>
      <c r="P91" s="83"/>
      <c r="Q91" s="83"/>
    </row>
    <row r="92" spans="1:71" s="38" customFormat="1" ht="24" customHeight="1">
      <c r="A92" s="42"/>
      <c r="B92" s="422" t="s">
        <v>65</v>
      </c>
      <c r="C92" s="423"/>
      <c r="D92" s="423"/>
      <c r="E92" s="423"/>
      <c r="F92" s="423"/>
      <c r="G92" s="423"/>
      <c r="H92" s="36" t="s">
        <v>66</v>
      </c>
      <c r="I92" s="37" t="s">
        <v>67</v>
      </c>
      <c r="J92" s="54"/>
      <c r="K92" s="45">
        <f>K93+K112</f>
        <v>9340809.5999999996</v>
      </c>
      <c r="L92" s="45">
        <f t="shared" ref="L92:M92" si="15">L93+L112</f>
        <v>9690710.7599999998</v>
      </c>
      <c r="M92" s="45">
        <f t="shared" si="15"/>
        <v>10081365.76</v>
      </c>
      <c r="N92" s="55" t="s">
        <v>21</v>
      </c>
      <c r="O92" s="83"/>
      <c r="P92" s="83"/>
      <c r="Q92" s="83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</row>
    <row r="93" spans="1:71" s="73" customFormat="1">
      <c r="B93" s="424" t="s">
        <v>68</v>
      </c>
      <c r="C93" s="425"/>
      <c r="D93" s="425"/>
      <c r="E93" s="425"/>
      <c r="F93" s="425"/>
      <c r="G93" s="425"/>
      <c r="H93" s="74" t="s">
        <v>69</v>
      </c>
      <c r="I93" s="75" t="s">
        <v>67</v>
      </c>
      <c r="J93" s="76"/>
      <c r="K93" s="77">
        <f>K94</f>
        <v>9340809.5999999996</v>
      </c>
      <c r="L93" s="77">
        <f t="shared" ref="L93:M93" si="16">L94</f>
        <v>9690710.7599999998</v>
      </c>
      <c r="M93" s="77">
        <f t="shared" si="16"/>
        <v>10081365.76</v>
      </c>
      <c r="N93" s="78" t="s">
        <v>21</v>
      </c>
      <c r="O93" s="83"/>
      <c r="P93" s="83"/>
      <c r="Q93" s="83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</row>
    <row r="94" spans="1:71">
      <c r="B94" s="410"/>
      <c r="C94" s="411"/>
      <c r="D94" s="411"/>
      <c r="E94" s="411"/>
      <c r="F94" s="411"/>
      <c r="G94" s="412"/>
      <c r="H94" s="5"/>
      <c r="I94" s="10"/>
      <c r="J94" s="167" t="s">
        <v>341</v>
      </c>
      <c r="K94" s="163">
        <f>SUM(K95:K104)</f>
        <v>9340809.5999999996</v>
      </c>
      <c r="L94" s="163">
        <f t="shared" ref="L94" si="17">SUM(L95:L104)</f>
        <v>9690710.7599999998</v>
      </c>
      <c r="M94" s="163">
        <f t="shared" ref="M94" si="18">SUM(M95:M104)</f>
        <v>10081365.76</v>
      </c>
      <c r="N94" s="50"/>
    </row>
    <row r="95" spans="1:71">
      <c r="B95" s="94"/>
      <c r="C95" s="95"/>
      <c r="D95" s="95"/>
      <c r="E95" s="95"/>
      <c r="F95" s="95"/>
      <c r="G95" s="96"/>
      <c r="H95" s="91"/>
      <c r="I95" s="92"/>
      <c r="J95" s="162" t="s">
        <v>189</v>
      </c>
      <c r="K95" s="181">
        <v>207276.76</v>
      </c>
      <c r="L95" s="181">
        <v>207276.76</v>
      </c>
      <c r="M95" s="181">
        <v>207276.76</v>
      </c>
      <c r="N95" s="88"/>
    </row>
    <row r="96" spans="1:71">
      <c r="B96" s="410"/>
      <c r="C96" s="411"/>
      <c r="D96" s="411"/>
      <c r="E96" s="411"/>
      <c r="F96" s="411"/>
      <c r="G96" s="412"/>
      <c r="H96" s="5"/>
      <c r="I96" s="10"/>
      <c r="J96" s="279" t="s">
        <v>400</v>
      </c>
      <c r="K96" s="181">
        <v>1227995</v>
      </c>
      <c r="L96" s="181">
        <v>1248156</v>
      </c>
      <c r="M96" s="181">
        <v>1313447</v>
      </c>
      <c r="N96" s="50"/>
    </row>
    <row r="97" spans="2:51">
      <c r="B97" s="94"/>
      <c r="C97" s="95"/>
      <c r="D97" s="95"/>
      <c r="E97" s="95"/>
      <c r="F97" s="95"/>
      <c r="G97" s="96"/>
      <c r="H97" s="91"/>
      <c r="I97" s="92"/>
      <c r="J97" s="162" t="s">
        <v>190</v>
      </c>
      <c r="K97" s="181">
        <v>19207</v>
      </c>
      <c r="L97" s="181">
        <v>19207</v>
      </c>
      <c r="M97" s="181">
        <v>19207</v>
      </c>
      <c r="N97" s="88"/>
    </row>
    <row r="98" spans="2:51">
      <c r="B98" s="410"/>
      <c r="C98" s="411"/>
      <c r="D98" s="411"/>
      <c r="E98" s="411"/>
      <c r="F98" s="411"/>
      <c r="G98" s="412"/>
      <c r="H98" s="5"/>
      <c r="I98" s="10"/>
      <c r="J98" s="162" t="s">
        <v>329</v>
      </c>
      <c r="K98" s="181">
        <v>364928</v>
      </c>
      <c r="L98" s="181">
        <v>364928</v>
      </c>
      <c r="M98" s="181">
        <v>364928</v>
      </c>
      <c r="N98" s="50"/>
    </row>
    <row r="99" spans="2:51">
      <c r="B99" s="94"/>
      <c r="C99" s="95"/>
      <c r="D99" s="95"/>
      <c r="E99" s="95"/>
      <c r="F99" s="95"/>
      <c r="G99" s="96"/>
      <c r="H99" s="91"/>
      <c r="I99" s="92"/>
      <c r="J99" s="162" t="s">
        <v>191</v>
      </c>
      <c r="K99" s="181">
        <f>7470822+10416+8454.84</f>
        <v>7489692.8399999999</v>
      </c>
      <c r="L99" s="181">
        <v>7819433</v>
      </c>
      <c r="M99" s="181">
        <v>8144797</v>
      </c>
      <c r="N99" s="88"/>
    </row>
    <row r="100" spans="2:51">
      <c r="B100" s="410"/>
      <c r="C100" s="411"/>
      <c r="D100" s="411"/>
      <c r="E100" s="411"/>
      <c r="F100" s="411"/>
      <c r="G100" s="412"/>
      <c r="H100" s="5"/>
      <c r="I100" s="10"/>
      <c r="J100" s="162" t="s">
        <v>344</v>
      </c>
      <c r="K100" s="181">
        <v>31710</v>
      </c>
      <c r="L100" s="181">
        <v>31710</v>
      </c>
      <c r="M100" s="181">
        <v>31710</v>
      </c>
      <c r="N100" s="50"/>
    </row>
    <row r="101" spans="2:51" hidden="1">
      <c r="B101" s="94"/>
      <c r="C101" s="95"/>
      <c r="D101" s="95"/>
      <c r="E101" s="95"/>
      <c r="F101" s="95"/>
      <c r="G101" s="96"/>
      <c r="H101" s="91"/>
      <c r="I101" s="92"/>
      <c r="J101" s="162" t="s">
        <v>345</v>
      </c>
      <c r="K101" s="181">
        <v>0</v>
      </c>
      <c r="L101" s="181">
        <v>0</v>
      </c>
      <c r="M101" s="181">
        <v>0</v>
      </c>
      <c r="N101" s="88"/>
    </row>
    <row r="102" spans="2:51" hidden="1">
      <c r="B102" s="410"/>
      <c r="C102" s="411"/>
      <c r="D102" s="411"/>
      <c r="E102" s="411"/>
      <c r="F102" s="411"/>
      <c r="G102" s="412"/>
      <c r="H102" s="5"/>
      <c r="I102" s="10"/>
      <c r="J102" s="162" t="s">
        <v>350</v>
      </c>
      <c r="K102" s="181"/>
      <c r="L102" s="181"/>
      <c r="M102" s="181"/>
      <c r="N102" s="50"/>
    </row>
    <row r="103" spans="2:51" hidden="1">
      <c r="B103" s="410"/>
      <c r="C103" s="411"/>
      <c r="D103" s="411"/>
      <c r="E103" s="411"/>
      <c r="F103" s="411"/>
      <c r="G103" s="412"/>
      <c r="H103" s="5"/>
      <c r="I103" s="10"/>
      <c r="J103" s="162" t="s">
        <v>351</v>
      </c>
      <c r="K103" s="181"/>
      <c r="L103" s="181"/>
      <c r="M103" s="181"/>
      <c r="N103" s="50"/>
    </row>
    <row r="104" spans="2:51" hidden="1">
      <c r="B104" s="102"/>
      <c r="C104" s="103"/>
      <c r="D104" s="103"/>
      <c r="E104" s="103"/>
      <c r="F104" s="103"/>
      <c r="G104" s="104"/>
      <c r="H104" s="107"/>
      <c r="I104" s="108"/>
      <c r="J104" s="167"/>
      <c r="K104" s="163"/>
      <c r="L104" s="163"/>
      <c r="M104" s="163"/>
      <c r="N104" s="106"/>
    </row>
    <row r="105" spans="2:51" hidden="1">
      <c r="B105" s="102"/>
      <c r="C105" s="103"/>
      <c r="D105" s="103"/>
      <c r="E105" s="103"/>
      <c r="F105" s="103"/>
      <c r="G105" s="104"/>
      <c r="H105" s="107"/>
      <c r="I105" s="108"/>
      <c r="J105" s="49"/>
      <c r="K105" s="105"/>
      <c r="L105" s="105"/>
      <c r="M105" s="105"/>
      <c r="N105" s="106"/>
    </row>
    <row r="106" spans="2:51" hidden="1">
      <c r="B106" s="410"/>
      <c r="C106" s="411"/>
      <c r="D106" s="411"/>
      <c r="E106" s="411"/>
      <c r="F106" s="411"/>
      <c r="G106" s="412"/>
      <c r="H106" s="5"/>
      <c r="I106" s="10"/>
      <c r="J106" s="167"/>
      <c r="K106" s="163"/>
      <c r="L106" s="163"/>
      <c r="M106" s="163"/>
      <c r="N106" s="50"/>
    </row>
    <row r="107" spans="2:51" hidden="1">
      <c r="B107" s="410"/>
      <c r="C107" s="411"/>
      <c r="D107" s="411"/>
      <c r="E107" s="411"/>
      <c r="F107" s="411"/>
      <c r="G107" s="412"/>
      <c r="H107" s="5"/>
      <c r="I107" s="10"/>
      <c r="J107" s="49"/>
      <c r="K107" s="105"/>
      <c r="L107" s="105"/>
      <c r="M107" s="105"/>
      <c r="N107" s="50"/>
    </row>
    <row r="108" spans="2:51" hidden="1">
      <c r="B108" s="172"/>
      <c r="C108" s="173"/>
      <c r="D108" s="173"/>
      <c r="E108" s="173"/>
      <c r="F108" s="173"/>
      <c r="G108" s="173"/>
      <c r="H108" s="107"/>
      <c r="I108" s="108"/>
      <c r="J108" s="167"/>
      <c r="K108" s="163"/>
      <c r="L108" s="163"/>
      <c r="M108" s="163"/>
      <c r="N108" s="106"/>
    </row>
    <row r="109" spans="2:51" hidden="1">
      <c r="B109" s="172"/>
      <c r="C109" s="173"/>
      <c r="D109" s="173"/>
      <c r="E109" s="173"/>
      <c r="F109" s="173"/>
      <c r="G109" s="173"/>
      <c r="H109" s="107"/>
      <c r="I109" s="108"/>
      <c r="J109" s="49"/>
      <c r="K109" s="105"/>
      <c r="L109" s="105"/>
      <c r="M109" s="105"/>
      <c r="N109" s="106"/>
    </row>
    <row r="110" spans="2:51" hidden="1">
      <c r="B110" s="172"/>
      <c r="C110" s="173"/>
      <c r="D110" s="173"/>
      <c r="E110" s="173"/>
      <c r="F110" s="173"/>
      <c r="G110" s="173"/>
      <c r="H110" s="107"/>
      <c r="I110" s="108"/>
      <c r="J110" s="167"/>
      <c r="K110" s="163"/>
      <c r="L110" s="163"/>
      <c r="M110" s="163"/>
      <c r="N110" s="106"/>
    </row>
    <row r="111" spans="2:51" hidden="1">
      <c r="B111" s="172"/>
      <c r="C111" s="173"/>
      <c r="D111" s="173"/>
      <c r="E111" s="173"/>
      <c r="F111" s="173"/>
      <c r="G111" s="173"/>
      <c r="H111" s="107"/>
      <c r="I111" s="108"/>
      <c r="J111" s="49"/>
      <c r="K111" s="105"/>
      <c r="L111" s="105"/>
      <c r="M111" s="105"/>
      <c r="N111" s="106"/>
    </row>
    <row r="112" spans="2:51" s="73" customFormat="1" hidden="1">
      <c r="B112" s="418" t="s">
        <v>70</v>
      </c>
      <c r="C112" s="419"/>
      <c r="D112" s="419"/>
      <c r="E112" s="419"/>
      <c r="F112" s="419"/>
      <c r="G112" s="419"/>
      <c r="H112" s="79" t="s">
        <v>71</v>
      </c>
      <c r="I112" s="80" t="s">
        <v>67</v>
      </c>
      <c r="J112" s="76"/>
      <c r="K112" s="77">
        <f>K113+K114+K115</f>
        <v>0</v>
      </c>
      <c r="L112" s="77">
        <f t="shared" ref="L112:M112" si="19">L113+L114+L115</f>
        <v>0</v>
      </c>
      <c r="M112" s="77">
        <f t="shared" si="19"/>
        <v>0</v>
      </c>
      <c r="N112" s="78" t="s">
        <v>21</v>
      </c>
      <c r="O112" s="83"/>
      <c r="P112" s="83"/>
      <c r="Q112" s="83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</row>
    <row r="113" spans="1:71" hidden="1">
      <c r="B113" s="410"/>
      <c r="C113" s="411"/>
      <c r="D113" s="411"/>
      <c r="E113" s="411"/>
      <c r="F113" s="411"/>
      <c r="G113" s="412"/>
      <c r="H113" s="71"/>
      <c r="I113" s="72"/>
      <c r="J113" s="49"/>
      <c r="K113" s="44"/>
      <c r="L113" s="44"/>
      <c r="M113" s="44"/>
      <c r="N113" s="50"/>
    </row>
    <row r="114" spans="1:71" hidden="1">
      <c r="B114" s="410"/>
      <c r="C114" s="411"/>
      <c r="D114" s="411"/>
      <c r="E114" s="411"/>
      <c r="F114" s="411"/>
      <c r="G114" s="412"/>
      <c r="H114" s="5"/>
      <c r="I114" s="10"/>
      <c r="J114" s="53"/>
      <c r="K114" s="44"/>
      <c r="L114" s="44"/>
      <c r="M114" s="44"/>
      <c r="N114" s="50"/>
    </row>
    <row r="115" spans="1:71" hidden="1">
      <c r="B115" s="410"/>
      <c r="C115" s="411"/>
      <c r="D115" s="411"/>
      <c r="E115" s="411"/>
      <c r="F115" s="411"/>
      <c r="G115" s="412"/>
      <c r="H115" s="5"/>
      <c r="I115" s="10"/>
      <c r="J115" s="53"/>
      <c r="K115" s="44"/>
      <c r="L115" s="44"/>
      <c r="M115" s="44"/>
      <c r="N115" s="50"/>
    </row>
    <row r="116" spans="1:71" s="38" customFormat="1">
      <c r="A116" s="42"/>
      <c r="B116" s="414" t="s">
        <v>72</v>
      </c>
      <c r="C116" s="415"/>
      <c r="D116" s="415"/>
      <c r="E116" s="415"/>
      <c r="F116" s="415"/>
      <c r="G116" s="415"/>
      <c r="H116" s="36" t="s">
        <v>73</v>
      </c>
      <c r="I116" s="37" t="s">
        <v>74</v>
      </c>
      <c r="J116" s="54"/>
      <c r="K116" s="45">
        <f>K117+K122+K124</f>
        <v>637422</v>
      </c>
      <c r="L116" s="45">
        <f t="shared" ref="L116:M116" si="20">L117+L122+L124</f>
        <v>637422</v>
      </c>
      <c r="M116" s="45">
        <f t="shared" si="20"/>
        <v>637422</v>
      </c>
      <c r="N116" s="55" t="s">
        <v>21</v>
      </c>
      <c r="O116" s="83"/>
      <c r="P116" s="83"/>
      <c r="Q116" s="83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</row>
    <row r="117" spans="1:71" s="73" customFormat="1">
      <c r="B117" s="408" t="s">
        <v>75</v>
      </c>
      <c r="C117" s="409"/>
      <c r="D117" s="409"/>
      <c r="E117" s="409"/>
      <c r="F117" s="409"/>
      <c r="G117" s="409"/>
      <c r="H117" s="74" t="s">
        <v>76</v>
      </c>
      <c r="I117" s="75" t="s">
        <v>77</v>
      </c>
      <c r="J117" s="76"/>
      <c r="K117" s="77">
        <f>K118</f>
        <v>637422</v>
      </c>
      <c r="L117" s="77">
        <f t="shared" ref="L117:M117" si="21">L118</f>
        <v>637422</v>
      </c>
      <c r="M117" s="77">
        <f t="shared" si="21"/>
        <v>637422</v>
      </c>
      <c r="N117" s="78" t="s">
        <v>21</v>
      </c>
      <c r="O117" s="83"/>
      <c r="P117" s="83"/>
      <c r="Q117" s="83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</row>
    <row r="118" spans="1:71">
      <c r="B118" s="410"/>
      <c r="C118" s="411"/>
      <c r="D118" s="411"/>
      <c r="E118" s="411"/>
      <c r="F118" s="411"/>
      <c r="G118" s="412"/>
      <c r="H118" s="3"/>
      <c r="I118" s="8"/>
      <c r="J118" s="167" t="s">
        <v>352</v>
      </c>
      <c r="K118" s="163">
        <f>K120+K119</f>
        <v>637422</v>
      </c>
      <c r="L118" s="163">
        <f t="shared" ref="L118:M118" si="22">L120+L119</f>
        <v>637422</v>
      </c>
      <c r="M118" s="163">
        <f t="shared" si="22"/>
        <v>637422</v>
      </c>
      <c r="N118" s="50"/>
    </row>
    <row r="119" spans="1:71">
      <c r="B119" s="410"/>
      <c r="C119" s="411"/>
      <c r="D119" s="411"/>
      <c r="E119" s="411"/>
      <c r="F119" s="411"/>
      <c r="G119" s="412"/>
      <c r="H119" s="3"/>
      <c r="I119" s="8"/>
      <c r="J119" s="279" t="s">
        <v>400</v>
      </c>
      <c r="K119" s="181">
        <v>637422</v>
      </c>
      <c r="L119" s="181">
        <v>637422</v>
      </c>
      <c r="M119" s="181">
        <v>637422</v>
      </c>
      <c r="N119" s="50"/>
    </row>
    <row r="120" spans="1:71" hidden="1">
      <c r="B120" s="102"/>
      <c r="C120" s="103"/>
      <c r="D120" s="103"/>
      <c r="E120" s="103"/>
      <c r="F120" s="103"/>
      <c r="G120" s="104"/>
      <c r="H120" s="3"/>
      <c r="I120" s="8"/>
      <c r="J120" s="162" t="s">
        <v>351</v>
      </c>
      <c r="K120" s="181"/>
      <c r="L120" s="181"/>
      <c r="M120" s="181"/>
      <c r="N120" s="106"/>
    </row>
    <row r="121" spans="1:71" hidden="1">
      <c r="B121" s="410"/>
      <c r="C121" s="411"/>
      <c r="D121" s="411"/>
      <c r="E121" s="411"/>
      <c r="F121" s="411"/>
      <c r="G121" s="412"/>
      <c r="H121" s="3"/>
      <c r="I121" s="8"/>
      <c r="J121" s="49"/>
      <c r="K121" s="44"/>
      <c r="L121" s="105"/>
      <c r="M121" s="105"/>
      <c r="N121" s="50"/>
    </row>
    <row r="122" spans="1:71" s="73" customFormat="1" ht="25.5" hidden="1" customHeight="1">
      <c r="B122" s="408" t="s">
        <v>78</v>
      </c>
      <c r="C122" s="409"/>
      <c r="D122" s="409"/>
      <c r="E122" s="409"/>
      <c r="F122" s="409"/>
      <c r="G122" s="409"/>
      <c r="H122" s="74" t="s">
        <v>79</v>
      </c>
      <c r="I122" s="75" t="s">
        <v>80</v>
      </c>
      <c r="J122" s="76"/>
      <c r="K122" s="77">
        <f>K123</f>
        <v>0</v>
      </c>
      <c r="L122" s="77">
        <f t="shared" ref="L122:M122" si="23">L123</f>
        <v>0</v>
      </c>
      <c r="M122" s="77">
        <f t="shared" si="23"/>
        <v>0</v>
      </c>
      <c r="N122" s="78" t="s">
        <v>21</v>
      </c>
      <c r="O122" s="83"/>
      <c r="P122" s="83"/>
      <c r="Q122" s="83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</row>
    <row r="123" spans="1:71" hidden="1">
      <c r="B123" s="410"/>
      <c r="C123" s="411"/>
      <c r="D123" s="411"/>
      <c r="E123" s="411"/>
      <c r="F123" s="411"/>
      <c r="G123" s="412"/>
      <c r="H123" s="3"/>
      <c r="I123" s="8"/>
      <c r="J123" s="53"/>
      <c r="K123" s="44"/>
      <c r="L123" s="44"/>
      <c r="M123" s="44"/>
      <c r="N123" s="50"/>
    </row>
    <row r="124" spans="1:71" s="73" customFormat="1" ht="21.75" hidden="1" customHeight="1">
      <c r="B124" s="408" t="s">
        <v>81</v>
      </c>
      <c r="C124" s="409"/>
      <c r="D124" s="409"/>
      <c r="E124" s="409"/>
      <c r="F124" s="409"/>
      <c r="G124" s="409"/>
      <c r="H124" s="74" t="s">
        <v>82</v>
      </c>
      <c r="I124" s="75" t="s">
        <v>83</v>
      </c>
      <c r="J124" s="76"/>
      <c r="K124" s="77">
        <f>K125</f>
        <v>0</v>
      </c>
      <c r="L124" s="77">
        <f t="shared" ref="L124:M124" si="24">L125</f>
        <v>0</v>
      </c>
      <c r="M124" s="77">
        <f t="shared" si="24"/>
        <v>0</v>
      </c>
      <c r="N124" s="78" t="s">
        <v>21</v>
      </c>
      <c r="O124" s="83"/>
      <c r="P124" s="83"/>
      <c r="Q124" s="83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</row>
    <row r="125" spans="1:71" hidden="1">
      <c r="B125" s="410"/>
      <c r="C125" s="411"/>
      <c r="D125" s="411"/>
      <c r="E125" s="411"/>
      <c r="F125" s="411"/>
      <c r="G125" s="412"/>
      <c r="H125" s="3"/>
      <c r="I125" s="8"/>
      <c r="J125" s="53"/>
      <c r="K125" s="44"/>
      <c r="L125" s="44"/>
      <c r="M125" s="44"/>
      <c r="N125" s="50"/>
    </row>
    <row r="126" spans="1:71" s="38" customFormat="1" hidden="1">
      <c r="A126" s="42"/>
      <c r="B126" s="414" t="s">
        <v>84</v>
      </c>
      <c r="C126" s="415"/>
      <c r="D126" s="415"/>
      <c r="E126" s="415"/>
      <c r="F126" s="415"/>
      <c r="G126" s="415"/>
      <c r="H126" s="36" t="s">
        <v>85</v>
      </c>
      <c r="I126" s="37" t="s">
        <v>21</v>
      </c>
      <c r="J126" s="54"/>
      <c r="K126" s="45">
        <f>K127</f>
        <v>0</v>
      </c>
      <c r="L126" s="45">
        <f t="shared" ref="L126:M126" si="25">L127</f>
        <v>0</v>
      </c>
      <c r="M126" s="45">
        <f t="shared" si="25"/>
        <v>0</v>
      </c>
      <c r="N126" s="55" t="s">
        <v>21</v>
      </c>
      <c r="O126" s="83"/>
      <c r="P126" s="83"/>
      <c r="Q126" s="83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</row>
    <row r="127" spans="1:71" ht="40.5" hidden="1" customHeight="1">
      <c r="B127" s="416" t="s">
        <v>86</v>
      </c>
      <c r="C127" s="417"/>
      <c r="D127" s="417"/>
      <c r="E127" s="417"/>
      <c r="F127" s="417"/>
      <c r="G127" s="417"/>
      <c r="H127" s="3" t="s">
        <v>87</v>
      </c>
      <c r="I127" s="8" t="s">
        <v>88</v>
      </c>
      <c r="J127" s="53"/>
      <c r="K127" s="44"/>
      <c r="L127" s="44"/>
      <c r="M127" s="44"/>
      <c r="N127" s="50" t="s">
        <v>21</v>
      </c>
    </row>
    <row r="128" spans="1:71" s="38" customFormat="1">
      <c r="A128" s="42"/>
      <c r="B128" s="414" t="s">
        <v>89</v>
      </c>
      <c r="C128" s="415"/>
      <c r="D128" s="415"/>
      <c r="E128" s="415"/>
      <c r="F128" s="415"/>
      <c r="G128" s="415"/>
      <c r="H128" s="36" t="s">
        <v>90</v>
      </c>
      <c r="I128" s="37" t="s">
        <v>21</v>
      </c>
      <c r="J128" s="54"/>
      <c r="K128" s="45">
        <f>K129+K131+K133+K143</f>
        <v>14882484.360000001</v>
      </c>
      <c r="L128" s="45">
        <f t="shared" ref="L128:M128" si="26">L129+L131+L133+L143</f>
        <v>12996422.359999999</v>
      </c>
      <c r="M128" s="45">
        <f t="shared" si="26"/>
        <v>13218749.359999999</v>
      </c>
      <c r="N128" s="55"/>
      <c r="O128" s="83"/>
      <c r="P128" s="83"/>
      <c r="Q128" s="83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</row>
    <row r="129" spans="2:51" s="73" customFormat="1" hidden="1">
      <c r="B129" s="408" t="s">
        <v>91</v>
      </c>
      <c r="C129" s="409"/>
      <c r="D129" s="409"/>
      <c r="E129" s="409"/>
      <c r="F129" s="409"/>
      <c r="G129" s="409"/>
      <c r="H129" s="74" t="s">
        <v>92</v>
      </c>
      <c r="I129" s="75" t="s">
        <v>93</v>
      </c>
      <c r="J129" s="76"/>
      <c r="K129" s="77">
        <f>K130</f>
        <v>0</v>
      </c>
      <c r="L129" s="77">
        <f t="shared" ref="L129:M129" si="27">L130</f>
        <v>0</v>
      </c>
      <c r="M129" s="77">
        <f t="shared" si="27"/>
        <v>0</v>
      </c>
      <c r="N129" s="78"/>
      <c r="O129" s="83"/>
      <c r="P129" s="83"/>
      <c r="Q129" s="83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</row>
    <row r="130" spans="2:51" hidden="1">
      <c r="B130" s="410"/>
      <c r="C130" s="411"/>
      <c r="D130" s="411"/>
      <c r="E130" s="411"/>
      <c r="F130" s="411"/>
      <c r="G130" s="412"/>
      <c r="H130" s="3"/>
      <c r="I130" s="8"/>
      <c r="J130" s="53"/>
      <c r="K130" s="44"/>
      <c r="L130" s="44"/>
      <c r="M130" s="44"/>
      <c r="N130" s="50"/>
    </row>
    <row r="131" spans="2:51" s="73" customFormat="1" ht="28.5" hidden="1" customHeight="1">
      <c r="B131" s="408" t="s">
        <v>94</v>
      </c>
      <c r="C131" s="409"/>
      <c r="D131" s="409"/>
      <c r="E131" s="409"/>
      <c r="F131" s="409"/>
      <c r="G131" s="409"/>
      <c r="H131" s="79" t="s">
        <v>95</v>
      </c>
      <c r="I131" s="80" t="s">
        <v>96</v>
      </c>
      <c r="J131" s="76"/>
      <c r="K131" s="77">
        <f>K132</f>
        <v>0</v>
      </c>
      <c r="L131" s="77">
        <f t="shared" ref="L131:M131" si="28">L132</f>
        <v>0</v>
      </c>
      <c r="M131" s="77">
        <f t="shared" si="28"/>
        <v>0</v>
      </c>
      <c r="N131" s="78"/>
      <c r="O131" s="83"/>
      <c r="P131" s="83"/>
      <c r="Q131" s="8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</row>
    <row r="132" spans="2:51" ht="15.75" hidden="1" customHeight="1">
      <c r="B132" s="410"/>
      <c r="C132" s="411"/>
      <c r="D132" s="411"/>
      <c r="E132" s="411"/>
      <c r="F132" s="411"/>
      <c r="G132" s="412"/>
      <c r="H132" s="6"/>
      <c r="I132" s="11"/>
      <c r="J132" s="53"/>
      <c r="K132" s="44"/>
      <c r="L132" s="44"/>
      <c r="M132" s="44"/>
      <c r="N132" s="50"/>
    </row>
    <row r="133" spans="2:51" s="73" customFormat="1" ht="24" customHeight="1">
      <c r="B133" s="408" t="s">
        <v>97</v>
      </c>
      <c r="C133" s="409"/>
      <c r="D133" s="409"/>
      <c r="E133" s="409"/>
      <c r="F133" s="409"/>
      <c r="G133" s="409"/>
      <c r="H133" s="81" t="s">
        <v>98</v>
      </c>
      <c r="I133" s="82" t="s">
        <v>99</v>
      </c>
      <c r="J133" s="76"/>
      <c r="K133" s="77">
        <f>K134</f>
        <v>280000</v>
      </c>
      <c r="L133" s="77">
        <f t="shared" ref="L133:M133" si="29">L134</f>
        <v>0</v>
      </c>
      <c r="M133" s="77">
        <f t="shared" si="29"/>
        <v>0</v>
      </c>
      <c r="N133" s="78"/>
      <c r="O133" s="83"/>
      <c r="P133" s="83"/>
      <c r="Q133" s="8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</row>
    <row r="134" spans="2:51">
      <c r="B134" s="410"/>
      <c r="C134" s="411"/>
      <c r="D134" s="411"/>
      <c r="E134" s="411"/>
      <c r="F134" s="411"/>
      <c r="G134" s="412"/>
      <c r="H134" s="6"/>
      <c r="I134" s="11"/>
      <c r="J134" s="167" t="s">
        <v>322</v>
      </c>
      <c r="K134" s="163">
        <f>K135</f>
        <v>280000</v>
      </c>
      <c r="L134" s="163">
        <f t="shared" ref="L134:M134" si="30">L135</f>
        <v>0</v>
      </c>
      <c r="M134" s="163">
        <f t="shared" si="30"/>
        <v>0</v>
      </c>
      <c r="N134" s="50"/>
    </row>
    <row r="135" spans="2:51">
      <c r="B135" s="410"/>
      <c r="C135" s="411"/>
      <c r="D135" s="411"/>
      <c r="E135" s="411"/>
      <c r="F135" s="411"/>
      <c r="G135" s="412"/>
      <c r="H135" s="6"/>
      <c r="I135" s="11"/>
      <c r="J135" s="167">
        <v>1211121130</v>
      </c>
      <c r="K135" s="44">
        <v>280000</v>
      </c>
      <c r="L135" s="44"/>
      <c r="M135" s="44"/>
      <c r="N135" s="50"/>
    </row>
    <row r="136" spans="2:51" hidden="1">
      <c r="B136" s="410"/>
      <c r="C136" s="411"/>
      <c r="D136" s="411"/>
      <c r="E136" s="411"/>
      <c r="F136" s="411"/>
      <c r="G136" s="412"/>
      <c r="H136" s="6"/>
      <c r="I136" s="11"/>
      <c r="J136" s="49"/>
      <c r="K136" s="44"/>
      <c r="L136" s="44"/>
      <c r="M136" s="44"/>
      <c r="N136" s="50"/>
    </row>
    <row r="137" spans="2:51" hidden="1">
      <c r="B137" s="410"/>
      <c r="C137" s="411"/>
      <c r="D137" s="411"/>
      <c r="E137" s="411"/>
      <c r="F137" s="411"/>
      <c r="G137" s="412"/>
      <c r="H137" s="6"/>
      <c r="I137" s="11"/>
      <c r="J137" s="49"/>
      <c r="K137" s="44"/>
      <c r="L137" s="44"/>
      <c r="M137" s="44"/>
      <c r="N137" s="50"/>
    </row>
    <row r="138" spans="2:51" hidden="1">
      <c r="B138" s="410"/>
      <c r="C138" s="411"/>
      <c r="D138" s="411"/>
      <c r="E138" s="411"/>
      <c r="F138" s="411"/>
      <c r="G138" s="412"/>
      <c r="H138" s="6"/>
      <c r="I138" s="11"/>
      <c r="J138" s="49"/>
      <c r="K138" s="44"/>
      <c r="L138" s="44"/>
      <c r="M138" s="44"/>
      <c r="N138" s="50"/>
    </row>
    <row r="139" spans="2:51" hidden="1">
      <c r="B139" s="410"/>
      <c r="C139" s="411"/>
      <c r="D139" s="411"/>
      <c r="E139" s="411"/>
      <c r="F139" s="411"/>
      <c r="G139" s="412"/>
      <c r="H139" s="6"/>
      <c r="I139" s="11"/>
      <c r="J139" s="49"/>
      <c r="K139" s="44"/>
      <c r="L139" s="44"/>
      <c r="M139" s="44"/>
      <c r="N139" s="50"/>
    </row>
    <row r="140" spans="2:51" hidden="1">
      <c r="B140" s="410"/>
      <c r="C140" s="411"/>
      <c r="D140" s="411"/>
      <c r="E140" s="411"/>
      <c r="F140" s="411"/>
      <c r="G140" s="412"/>
      <c r="H140" s="6"/>
      <c r="I140" s="11"/>
      <c r="J140" s="49"/>
      <c r="K140" s="44"/>
      <c r="L140" s="44"/>
      <c r="M140" s="44"/>
      <c r="N140" s="50"/>
    </row>
    <row r="141" spans="2:51" hidden="1">
      <c r="B141" s="410"/>
      <c r="C141" s="411"/>
      <c r="D141" s="411"/>
      <c r="E141" s="411"/>
      <c r="F141" s="411"/>
      <c r="G141" s="412"/>
      <c r="H141" s="6"/>
      <c r="I141" s="11"/>
      <c r="J141" s="49"/>
      <c r="K141" s="44"/>
      <c r="L141" s="44"/>
      <c r="M141" s="44"/>
      <c r="N141" s="50"/>
    </row>
    <row r="142" spans="2:51" hidden="1">
      <c r="B142" s="410"/>
      <c r="C142" s="411"/>
      <c r="D142" s="411"/>
      <c r="E142" s="411"/>
      <c r="F142" s="411"/>
      <c r="G142" s="412"/>
      <c r="H142" s="6"/>
      <c r="I142" s="11"/>
      <c r="J142" s="49"/>
      <c r="K142" s="44"/>
      <c r="L142" s="44"/>
      <c r="M142" s="44"/>
      <c r="N142" s="50"/>
    </row>
    <row r="143" spans="2:51" s="73" customFormat="1">
      <c r="B143" s="404" t="s">
        <v>100</v>
      </c>
      <c r="C143" s="405"/>
      <c r="D143" s="405"/>
      <c r="E143" s="405"/>
      <c r="F143" s="405"/>
      <c r="G143" s="405"/>
      <c r="H143" s="81" t="s">
        <v>101</v>
      </c>
      <c r="I143" s="82" t="s">
        <v>102</v>
      </c>
      <c r="J143" s="76"/>
      <c r="K143" s="77">
        <f>K144+K162+K166+K184+K202+K223+K242+K246+K264+K282+K220</f>
        <v>14602484.360000001</v>
      </c>
      <c r="L143" s="77">
        <f t="shared" ref="L143:M143" si="31">L144+L162+L166+L184+L202+L223+L242+L246+L264+L282</f>
        <v>12996422.359999999</v>
      </c>
      <c r="M143" s="77">
        <f t="shared" si="31"/>
        <v>13218749.359999999</v>
      </c>
      <c r="N143" s="78"/>
      <c r="O143" s="83"/>
      <c r="P143" s="83"/>
      <c r="Q143" s="83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</row>
    <row r="144" spans="2:51">
      <c r="B144" s="406" t="s">
        <v>103</v>
      </c>
      <c r="C144" s="407"/>
      <c r="D144" s="407"/>
      <c r="E144" s="407"/>
      <c r="F144" s="407"/>
      <c r="G144" s="407"/>
      <c r="H144" s="5"/>
      <c r="I144" s="10"/>
      <c r="J144" s="167" t="s">
        <v>318</v>
      </c>
      <c r="K144" s="182">
        <f>SUM(K145:K155)</f>
        <v>58697</v>
      </c>
      <c r="L144" s="182">
        <f t="shared" ref="L144" si="32">SUM(L145:L155)</f>
        <v>58697</v>
      </c>
      <c r="M144" s="182">
        <f t="shared" ref="M144" si="33">SUM(M145:M155)</f>
        <v>58697</v>
      </c>
      <c r="N144" s="50"/>
    </row>
    <row r="145" spans="2:14" hidden="1">
      <c r="B145" s="492"/>
      <c r="C145" s="493"/>
      <c r="D145" s="493"/>
      <c r="E145" s="493"/>
      <c r="F145" s="493"/>
      <c r="G145" s="494"/>
      <c r="H145" s="91"/>
      <c r="I145" s="92"/>
      <c r="J145" s="162" t="s">
        <v>189</v>
      </c>
      <c r="K145" s="93"/>
      <c r="L145" s="93"/>
      <c r="M145" s="93"/>
      <c r="N145" s="88"/>
    </row>
    <row r="146" spans="2:14" hidden="1">
      <c r="B146" s="264"/>
      <c r="C146" s="265"/>
      <c r="D146" s="265"/>
      <c r="E146" s="265"/>
      <c r="F146" s="265"/>
      <c r="G146" s="266"/>
      <c r="H146" s="267"/>
      <c r="I146" s="268"/>
      <c r="J146" s="162" t="s">
        <v>397</v>
      </c>
      <c r="K146" s="263"/>
      <c r="L146" s="263"/>
      <c r="M146" s="263"/>
      <c r="N146" s="262"/>
    </row>
    <row r="147" spans="2:14">
      <c r="B147" s="492"/>
      <c r="C147" s="493"/>
      <c r="D147" s="493"/>
      <c r="E147" s="493"/>
      <c r="F147" s="493"/>
      <c r="G147" s="494"/>
      <c r="H147" s="91"/>
      <c r="I147" s="92"/>
      <c r="J147" s="279" t="s">
        <v>400</v>
      </c>
      <c r="K147" s="180">
        <v>58697</v>
      </c>
      <c r="L147" s="180">
        <v>58697</v>
      </c>
      <c r="M147" s="180">
        <v>58697</v>
      </c>
      <c r="N147" s="88"/>
    </row>
    <row r="148" spans="2:14" hidden="1">
      <c r="B148" s="492"/>
      <c r="C148" s="493"/>
      <c r="D148" s="493"/>
      <c r="E148" s="493"/>
      <c r="F148" s="493"/>
      <c r="G148" s="494"/>
      <c r="H148" s="91"/>
      <c r="I148" s="92"/>
      <c r="J148" s="162" t="s">
        <v>191</v>
      </c>
      <c r="K148" s="93"/>
      <c r="L148" s="93"/>
      <c r="M148" s="93"/>
      <c r="N148" s="88"/>
    </row>
    <row r="149" spans="2:14" hidden="1">
      <c r="B149" s="492"/>
      <c r="C149" s="493"/>
      <c r="D149" s="493"/>
      <c r="E149" s="493"/>
      <c r="F149" s="493"/>
      <c r="G149" s="494"/>
      <c r="H149" s="91"/>
      <c r="I149" s="92"/>
      <c r="J149" s="162" t="s">
        <v>347</v>
      </c>
      <c r="K149" s="93"/>
      <c r="L149" s="93"/>
      <c r="M149" s="93"/>
      <c r="N149" s="88"/>
    </row>
    <row r="150" spans="2:14" hidden="1">
      <c r="B150" s="492"/>
      <c r="C150" s="493"/>
      <c r="D150" s="493"/>
      <c r="E150" s="493"/>
      <c r="F150" s="493"/>
      <c r="G150" s="494"/>
      <c r="H150" s="91"/>
      <c r="I150" s="92"/>
      <c r="J150" s="162" t="s">
        <v>348</v>
      </c>
      <c r="K150" s="93"/>
      <c r="L150" s="93"/>
      <c r="M150" s="93"/>
      <c r="N150" s="88"/>
    </row>
    <row r="151" spans="2:14" hidden="1">
      <c r="B151" s="492"/>
      <c r="C151" s="493"/>
      <c r="D151" s="493"/>
      <c r="E151" s="493"/>
      <c r="F151" s="493"/>
      <c r="G151" s="494"/>
      <c r="H151" s="91"/>
      <c r="I151" s="92"/>
      <c r="J151" s="162" t="s">
        <v>194</v>
      </c>
      <c r="K151" s="93"/>
      <c r="L151" s="93"/>
      <c r="M151" s="93"/>
      <c r="N151" s="88"/>
    </row>
    <row r="152" spans="2:14" hidden="1">
      <c r="B152" s="492"/>
      <c r="C152" s="493"/>
      <c r="D152" s="493"/>
      <c r="E152" s="493"/>
      <c r="F152" s="493"/>
      <c r="G152" s="494"/>
      <c r="H152" s="91"/>
      <c r="I152" s="92"/>
      <c r="J152" s="162" t="s">
        <v>346</v>
      </c>
      <c r="K152" s="180"/>
      <c r="L152" s="180"/>
      <c r="M152" s="180"/>
      <c r="N152" s="88"/>
    </row>
    <row r="153" spans="2:14" hidden="1">
      <c r="B153" s="492"/>
      <c r="C153" s="493"/>
      <c r="D153" s="493"/>
      <c r="E153" s="493"/>
      <c r="F153" s="493"/>
      <c r="G153" s="494"/>
      <c r="H153" s="91"/>
      <c r="I153" s="92"/>
      <c r="J153" s="162" t="s">
        <v>349</v>
      </c>
      <c r="K153" s="93"/>
      <c r="L153" s="93"/>
      <c r="M153" s="93"/>
      <c r="N153" s="88"/>
    </row>
    <row r="154" spans="2:14" hidden="1">
      <c r="B154" s="492"/>
      <c r="C154" s="493"/>
      <c r="D154" s="493"/>
      <c r="E154" s="493"/>
      <c r="F154" s="493"/>
      <c r="G154" s="494"/>
      <c r="H154" s="91"/>
      <c r="I154" s="92"/>
      <c r="J154" s="162" t="s">
        <v>350</v>
      </c>
      <c r="K154" s="93"/>
      <c r="L154" s="93"/>
      <c r="M154" s="93"/>
      <c r="N154" s="88"/>
    </row>
    <row r="155" spans="2:14" hidden="1">
      <c r="B155" s="492"/>
      <c r="C155" s="493"/>
      <c r="D155" s="493"/>
      <c r="E155" s="493"/>
      <c r="F155" s="493"/>
      <c r="G155" s="494"/>
      <c r="H155" s="5"/>
      <c r="I155" s="10"/>
      <c r="J155" s="162" t="s">
        <v>351</v>
      </c>
      <c r="K155" s="163"/>
      <c r="L155" s="163"/>
      <c r="M155" s="163"/>
      <c r="N155" s="50"/>
    </row>
    <row r="156" spans="2:14" hidden="1">
      <c r="B156" s="264"/>
      <c r="C156" s="265"/>
      <c r="D156" s="265"/>
      <c r="E156" s="265"/>
      <c r="F156" s="265"/>
      <c r="G156" s="266"/>
      <c r="H156" s="267"/>
      <c r="I156" s="268"/>
      <c r="J156" s="162"/>
      <c r="K156" s="163"/>
      <c r="L156" s="163"/>
      <c r="M156" s="163"/>
      <c r="N156" s="262"/>
    </row>
    <row r="157" spans="2:14" hidden="1">
      <c r="B157" s="264"/>
      <c r="C157" s="265"/>
      <c r="D157" s="265"/>
      <c r="E157" s="265"/>
      <c r="F157" s="265"/>
      <c r="G157" s="266"/>
      <c r="H157" s="267"/>
      <c r="I157" s="268"/>
      <c r="J157" s="162"/>
      <c r="K157" s="163"/>
      <c r="L157" s="163"/>
      <c r="M157" s="163"/>
      <c r="N157" s="262"/>
    </row>
    <row r="158" spans="2:14" hidden="1">
      <c r="B158" s="264"/>
      <c r="C158" s="265"/>
      <c r="D158" s="265"/>
      <c r="E158" s="265"/>
      <c r="F158" s="265"/>
      <c r="G158" s="266"/>
      <c r="H158" s="267"/>
      <c r="I158" s="268"/>
      <c r="J158" s="162"/>
      <c r="K158" s="163"/>
      <c r="L158" s="163"/>
      <c r="M158" s="163"/>
      <c r="N158" s="262"/>
    </row>
    <row r="159" spans="2:14" hidden="1">
      <c r="B159" s="264"/>
      <c r="C159" s="265"/>
      <c r="D159" s="265"/>
      <c r="E159" s="265"/>
      <c r="F159" s="265"/>
      <c r="G159" s="266"/>
      <c r="H159" s="267"/>
      <c r="I159" s="268"/>
      <c r="J159" s="162"/>
      <c r="K159" s="163"/>
      <c r="L159" s="163"/>
      <c r="M159" s="163"/>
      <c r="N159" s="262"/>
    </row>
    <row r="160" spans="2:14" hidden="1">
      <c r="B160" s="264"/>
      <c r="C160" s="265"/>
      <c r="D160" s="265"/>
      <c r="E160" s="265"/>
      <c r="F160" s="265"/>
      <c r="G160" s="266"/>
      <c r="H160" s="267"/>
      <c r="I160" s="268"/>
      <c r="J160" s="162"/>
      <c r="K160" s="163"/>
      <c r="L160" s="163"/>
      <c r="M160" s="163"/>
      <c r="N160" s="262"/>
    </row>
    <row r="161" spans="2:14" hidden="1">
      <c r="B161" s="174"/>
      <c r="C161" s="175"/>
      <c r="D161" s="175"/>
      <c r="E161" s="175"/>
      <c r="F161" s="175"/>
      <c r="G161" s="176"/>
      <c r="H161" s="178"/>
      <c r="I161" s="179"/>
      <c r="J161" s="162"/>
      <c r="K161" s="163"/>
      <c r="L161" s="163"/>
      <c r="M161" s="163"/>
      <c r="N161" s="177"/>
    </row>
    <row r="162" spans="2:14" hidden="1">
      <c r="B162" s="174"/>
      <c r="C162" s="175"/>
      <c r="D162" s="175"/>
      <c r="E162" s="175"/>
      <c r="F162" s="175"/>
      <c r="G162" s="176"/>
      <c r="H162" s="178"/>
      <c r="I162" s="179"/>
      <c r="J162" s="167" t="s">
        <v>319</v>
      </c>
      <c r="K162" s="163">
        <f>K163</f>
        <v>0</v>
      </c>
      <c r="L162" s="163">
        <f t="shared" ref="L162:M162" si="34">L163</f>
        <v>0</v>
      </c>
      <c r="M162" s="163">
        <f t="shared" si="34"/>
        <v>0</v>
      </c>
      <c r="N162" s="177"/>
    </row>
    <row r="163" spans="2:14" hidden="1">
      <c r="B163" s="174"/>
      <c r="C163" s="175"/>
      <c r="D163" s="175"/>
      <c r="E163" s="175"/>
      <c r="F163" s="175"/>
      <c r="G163" s="176"/>
      <c r="H163" s="178"/>
      <c r="I163" s="179"/>
      <c r="J163" s="162" t="s">
        <v>349</v>
      </c>
      <c r="K163" s="163"/>
      <c r="L163" s="163"/>
      <c r="M163" s="163"/>
      <c r="N163" s="177"/>
    </row>
    <row r="164" spans="2:14" hidden="1">
      <c r="B164" s="174"/>
      <c r="C164" s="175"/>
      <c r="D164" s="175"/>
      <c r="E164" s="175"/>
      <c r="F164" s="175"/>
      <c r="G164" s="176"/>
      <c r="H164" s="178"/>
      <c r="I164" s="179"/>
      <c r="J164" s="162"/>
      <c r="K164" s="163"/>
      <c r="L164" s="163"/>
      <c r="M164" s="163"/>
      <c r="N164" s="177"/>
    </row>
    <row r="165" spans="2:14" hidden="1">
      <c r="B165" s="492"/>
      <c r="C165" s="493"/>
      <c r="D165" s="493"/>
      <c r="E165" s="493"/>
      <c r="F165" s="493"/>
      <c r="G165" s="494"/>
      <c r="H165" s="91"/>
      <c r="I165" s="92"/>
      <c r="J165" s="49"/>
      <c r="K165" s="93"/>
      <c r="L165" s="105"/>
      <c r="M165" s="105"/>
      <c r="N165" s="88"/>
    </row>
    <row r="166" spans="2:14">
      <c r="B166" s="492"/>
      <c r="C166" s="493"/>
      <c r="D166" s="493"/>
      <c r="E166" s="493"/>
      <c r="F166" s="493"/>
      <c r="G166" s="494"/>
      <c r="H166" s="91"/>
      <c r="I166" s="92"/>
      <c r="J166" s="167" t="s">
        <v>320</v>
      </c>
      <c r="K166" s="182">
        <f>SUM(K167:K177)</f>
        <v>3508926</v>
      </c>
      <c r="L166" s="182">
        <f t="shared" ref="L166" si="35">SUM(L167:L177)</f>
        <v>3550894</v>
      </c>
      <c r="M166" s="182">
        <f t="shared" ref="M166" si="36">SUM(M167:M177)</f>
        <v>3773221</v>
      </c>
      <c r="N166" s="88"/>
    </row>
    <row r="167" spans="2:14">
      <c r="B167" s="492"/>
      <c r="C167" s="493"/>
      <c r="D167" s="493"/>
      <c r="E167" s="493"/>
      <c r="F167" s="493"/>
      <c r="G167" s="494"/>
      <c r="H167" s="91"/>
      <c r="I167" s="92"/>
      <c r="J167" s="162" t="s">
        <v>189</v>
      </c>
      <c r="K167" s="93">
        <v>3846</v>
      </c>
      <c r="L167" s="93">
        <f>K167</f>
        <v>3846</v>
      </c>
      <c r="M167" s="93">
        <f>L167</f>
        <v>3846</v>
      </c>
      <c r="N167" s="88"/>
    </row>
    <row r="168" spans="2:14" hidden="1">
      <c r="B168" s="264"/>
      <c r="C168" s="265"/>
      <c r="D168" s="265"/>
      <c r="E168" s="265"/>
      <c r="F168" s="265"/>
      <c r="G168" s="266"/>
      <c r="H168" s="267"/>
      <c r="I168" s="268"/>
      <c r="J168" s="162" t="s">
        <v>397</v>
      </c>
      <c r="K168" s="263"/>
      <c r="L168" s="263"/>
      <c r="M168" s="263"/>
      <c r="N168" s="262"/>
    </row>
    <row r="169" spans="2:14">
      <c r="B169" s="492"/>
      <c r="C169" s="493"/>
      <c r="D169" s="493"/>
      <c r="E169" s="493"/>
      <c r="F169" s="493"/>
      <c r="G169" s="494"/>
      <c r="H169" s="91"/>
      <c r="I169" s="92"/>
      <c r="J169" s="279" t="s">
        <v>400</v>
      </c>
      <c r="K169" s="286">
        <v>3505080</v>
      </c>
      <c r="L169" s="286">
        <v>3547048</v>
      </c>
      <c r="M169" s="286">
        <v>3769375</v>
      </c>
      <c r="N169" s="88"/>
    </row>
    <row r="170" spans="2:14" hidden="1">
      <c r="B170" s="492"/>
      <c r="C170" s="493"/>
      <c r="D170" s="493"/>
      <c r="E170" s="493"/>
      <c r="F170" s="493"/>
      <c r="G170" s="494"/>
      <c r="H170" s="91"/>
      <c r="I170" s="92"/>
      <c r="J170" s="162" t="s">
        <v>191</v>
      </c>
      <c r="K170" s="93"/>
      <c r="L170" s="93"/>
      <c r="M170" s="105"/>
      <c r="N170" s="88"/>
    </row>
    <row r="171" spans="2:14" hidden="1">
      <c r="B171" s="492"/>
      <c r="C171" s="493"/>
      <c r="D171" s="493"/>
      <c r="E171" s="493"/>
      <c r="F171" s="493"/>
      <c r="G171" s="494"/>
      <c r="H171" s="91"/>
      <c r="I171" s="92"/>
      <c r="J171" s="162" t="s">
        <v>347</v>
      </c>
      <c r="K171" s="93"/>
      <c r="L171" s="93"/>
      <c r="M171" s="93"/>
      <c r="N171" s="88"/>
    </row>
    <row r="172" spans="2:14" hidden="1">
      <c r="B172" s="492"/>
      <c r="C172" s="493"/>
      <c r="D172" s="493"/>
      <c r="E172" s="493"/>
      <c r="F172" s="493"/>
      <c r="G172" s="494"/>
      <c r="H172" s="91"/>
      <c r="I172" s="92"/>
      <c r="J172" s="162" t="s">
        <v>348</v>
      </c>
      <c r="K172" s="93"/>
      <c r="L172" s="105"/>
      <c r="M172" s="105"/>
      <c r="N172" s="88"/>
    </row>
    <row r="173" spans="2:14" ht="18" hidden="1" customHeight="1">
      <c r="B173" s="492"/>
      <c r="C173" s="493"/>
      <c r="D173" s="493"/>
      <c r="E173" s="493"/>
      <c r="F173" s="493"/>
      <c r="G173" s="494"/>
      <c r="H173" s="91"/>
      <c r="I173" s="92"/>
      <c r="J173" s="162" t="s">
        <v>194</v>
      </c>
      <c r="K173" s="93"/>
      <c r="L173" s="93"/>
      <c r="M173" s="93"/>
      <c r="N173" s="88"/>
    </row>
    <row r="174" spans="2:14" ht="18" hidden="1" customHeight="1">
      <c r="B174" s="99"/>
      <c r="C174" s="100"/>
      <c r="D174" s="100"/>
      <c r="E174" s="100"/>
      <c r="F174" s="100"/>
      <c r="G174" s="101"/>
      <c r="H174" s="107"/>
      <c r="I174" s="108"/>
      <c r="J174" s="162" t="s">
        <v>346</v>
      </c>
      <c r="K174" s="105"/>
      <c r="L174" s="105"/>
      <c r="M174" s="105"/>
      <c r="N174" s="106"/>
    </row>
    <row r="175" spans="2:14" hidden="1">
      <c r="B175" s="492"/>
      <c r="C175" s="493"/>
      <c r="D175" s="493"/>
      <c r="E175" s="493"/>
      <c r="F175" s="493"/>
      <c r="G175" s="494"/>
      <c r="H175" s="91"/>
      <c r="I175" s="92"/>
      <c r="J175" s="162" t="s">
        <v>349</v>
      </c>
      <c r="K175" s="93"/>
      <c r="L175" s="105"/>
      <c r="M175" s="105"/>
      <c r="N175" s="88"/>
    </row>
    <row r="176" spans="2:14" hidden="1">
      <c r="B176" s="492"/>
      <c r="C176" s="493"/>
      <c r="D176" s="493"/>
      <c r="E176" s="493"/>
      <c r="F176" s="493"/>
      <c r="G176" s="494"/>
      <c r="H176" s="5"/>
      <c r="I176" s="10"/>
      <c r="J176" s="162" t="s">
        <v>350</v>
      </c>
      <c r="K176" s="163"/>
      <c r="L176" s="163"/>
      <c r="M176" s="163"/>
      <c r="N176" s="50"/>
    </row>
    <row r="177" spans="2:14" hidden="1">
      <c r="B177" s="492"/>
      <c r="C177" s="493"/>
      <c r="D177" s="493"/>
      <c r="E177" s="493"/>
      <c r="F177" s="493"/>
      <c r="G177" s="494"/>
      <c r="H177" s="91"/>
      <c r="I177" s="92"/>
      <c r="J177" s="162" t="s">
        <v>351</v>
      </c>
      <c r="K177" s="93"/>
      <c r="L177" s="105"/>
      <c r="M177" s="105"/>
      <c r="N177" s="88"/>
    </row>
    <row r="178" spans="2:14" hidden="1">
      <c r="B178" s="264"/>
      <c r="C178" s="265"/>
      <c r="D178" s="265"/>
      <c r="E178" s="265"/>
      <c r="F178" s="265"/>
      <c r="G178" s="266"/>
      <c r="H178" s="267"/>
      <c r="I178" s="268"/>
      <c r="J178" s="162"/>
      <c r="K178" s="263"/>
      <c r="L178" s="263"/>
      <c r="M178" s="263"/>
      <c r="N178" s="262"/>
    </row>
    <row r="179" spans="2:14" hidden="1">
      <c r="B179" s="264"/>
      <c r="C179" s="265"/>
      <c r="D179" s="265"/>
      <c r="E179" s="265"/>
      <c r="F179" s="265"/>
      <c r="G179" s="266"/>
      <c r="H179" s="267"/>
      <c r="I179" s="268"/>
      <c r="J179" s="162"/>
      <c r="K179" s="263"/>
      <c r="L179" s="263"/>
      <c r="M179" s="263"/>
      <c r="N179" s="262"/>
    </row>
    <row r="180" spans="2:14" hidden="1">
      <c r="B180" s="264"/>
      <c r="C180" s="265"/>
      <c r="D180" s="265"/>
      <c r="E180" s="265"/>
      <c r="F180" s="265"/>
      <c r="G180" s="266"/>
      <c r="H180" s="267"/>
      <c r="I180" s="268"/>
      <c r="J180" s="162"/>
      <c r="K180" s="263"/>
      <c r="L180" s="263"/>
      <c r="M180" s="263"/>
      <c r="N180" s="262"/>
    </row>
    <row r="181" spans="2:14" hidden="1">
      <c r="B181" s="264"/>
      <c r="C181" s="265"/>
      <c r="D181" s="265"/>
      <c r="E181" s="265"/>
      <c r="F181" s="265"/>
      <c r="G181" s="266"/>
      <c r="H181" s="267"/>
      <c r="I181" s="268"/>
      <c r="J181" s="162"/>
      <c r="K181" s="263"/>
      <c r="L181" s="263"/>
      <c r="M181" s="263"/>
      <c r="N181" s="262"/>
    </row>
    <row r="182" spans="2:14" hidden="1">
      <c r="B182" s="264"/>
      <c r="C182" s="265"/>
      <c r="D182" s="265"/>
      <c r="E182" s="265"/>
      <c r="F182" s="265"/>
      <c r="G182" s="266"/>
      <c r="H182" s="267"/>
      <c r="I182" s="268"/>
      <c r="J182" s="162"/>
      <c r="K182" s="263"/>
      <c r="L182" s="263"/>
      <c r="M182" s="263"/>
      <c r="N182" s="262"/>
    </row>
    <row r="183" spans="2:14" hidden="1">
      <c r="B183" s="492"/>
      <c r="C183" s="493"/>
      <c r="D183" s="493"/>
      <c r="E183" s="493"/>
      <c r="F183" s="493"/>
      <c r="G183" s="494"/>
      <c r="H183" s="91"/>
      <c r="I183" s="92"/>
      <c r="J183" s="49"/>
      <c r="K183" s="93"/>
      <c r="L183" s="105"/>
      <c r="M183" s="105"/>
      <c r="N183" s="88"/>
    </row>
    <row r="184" spans="2:14">
      <c r="B184" s="492"/>
      <c r="C184" s="493"/>
      <c r="D184" s="493"/>
      <c r="E184" s="493"/>
      <c r="F184" s="493"/>
      <c r="G184" s="494"/>
      <c r="H184" s="91"/>
      <c r="I184" s="92"/>
      <c r="J184" s="167" t="s">
        <v>321</v>
      </c>
      <c r="K184" s="182">
        <f>SUM(K185:K195)</f>
        <v>1628412.3</v>
      </c>
      <c r="L184" s="182">
        <f t="shared" ref="L184" si="37">SUM(L185:L195)</f>
        <v>295897</v>
      </c>
      <c r="M184" s="182">
        <f t="shared" ref="M184" si="38">SUM(M185:M195)</f>
        <v>295897</v>
      </c>
      <c r="N184" s="88"/>
    </row>
    <row r="185" spans="2:14">
      <c r="B185" s="492"/>
      <c r="C185" s="493"/>
      <c r="D185" s="493"/>
      <c r="E185" s="493"/>
      <c r="F185" s="493"/>
      <c r="G185" s="494"/>
      <c r="H185" s="91"/>
      <c r="I185" s="92"/>
      <c r="J185" s="162" t="s">
        <v>189</v>
      </c>
      <c r="K185" s="286">
        <v>47485.3</v>
      </c>
      <c r="L185" s="286">
        <v>15000</v>
      </c>
      <c r="M185" s="286">
        <v>15000</v>
      </c>
      <c r="N185" s="88"/>
    </row>
    <row r="186" spans="2:14" hidden="1">
      <c r="B186" s="264"/>
      <c r="C186" s="265"/>
      <c r="D186" s="265"/>
      <c r="E186" s="265"/>
      <c r="F186" s="265"/>
      <c r="G186" s="266"/>
      <c r="H186" s="267"/>
      <c r="I186" s="268"/>
      <c r="J186" s="162" t="s">
        <v>397</v>
      </c>
      <c r="K186" s="263"/>
      <c r="L186" s="263"/>
      <c r="M186" s="263"/>
      <c r="N186" s="262"/>
    </row>
    <row r="187" spans="2:14">
      <c r="B187" s="492"/>
      <c r="C187" s="493"/>
      <c r="D187" s="493"/>
      <c r="E187" s="493"/>
      <c r="F187" s="493"/>
      <c r="G187" s="494"/>
      <c r="H187" s="91"/>
      <c r="I187" s="92"/>
      <c r="J187" s="279" t="s">
        <v>400</v>
      </c>
      <c r="K187" s="286">
        <v>280897</v>
      </c>
      <c r="L187" s="286">
        <v>280897</v>
      </c>
      <c r="M187" s="286">
        <v>280897</v>
      </c>
      <c r="N187" s="88"/>
    </row>
    <row r="188" spans="2:14" hidden="1">
      <c r="B188" s="492"/>
      <c r="C188" s="493"/>
      <c r="D188" s="493"/>
      <c r="E188" s="493"/>
      <c r="F188" s="493"/>
      <c r="G188" s="494"/>
      <c r="H188" s="5"/>
      <c r="I188" s="10"/>
      <c r="J188" s="162" t="s">
        <v>191</v>
      </c>
      <c r="K188" s="180"/>
      <c r="L188" s="180"/>
      <c r="M188" s="180"/>
      <c r="N188" s="50"/>
    </row>
    <row r="189" spans="2:14">
      <c r="B189" s="99"/>
      <c r="C189" s="100"/>
      <c r="D189" s="100"/>
      <c r="E189" s="100"/>
      <c r="F189" s="100"/>
      <c r="G189" s="101"/>
      <c r="H189" s="107"/>
      <c r="I189" s="108"/>
      <c r="J189" s="162" t="s">
        <v>594</v>
      </c>
      <c r="K189" s="163">
        <v>100000</v>
      </c>
      <c r="L189" s="163"/>
      <c r="M189" s="163"/>
      <c r="N189" s="106"/>
    </row>
    <row r="190" spans="2:14">
      <c r="B190" s="492"/>
      <c r="C190" s="493"/>
      <c r="D190" s="493"/>
      <c r="E190" s="493"/>
      <c r="F190" s="493"/>
      <c r="G190" s="494"/>
      <c r="H190" s="91"/>
      <c r="I190" s="92"/>
      <c r="J190" s="279" t="s">
        <v>193</v>
      </c>
      <c r="K190" s="93">
        <v>1200030</v>
      </c>
      <c r="L190" s="105">
        <v>0</v>
      </c>
      <c r="M190" s="105">
        <v>0</v>
      </c>
      <c r="N190" s="88"/>
    </row>
    <row r="191" spans="2:14" hidden="1">
      <c r="B191" s="492"/>
      <c r="C191" s="493"/>
      <c r="D191" s="493"/>
      <c r="E191" s="493"/>
      <c r="F191" s="493"/>
      <c r="G191" s="494"/>
      <c r="H191" s="5"/>
      <c r="I191" s="10"/>
      <c r="J191" s="162" t="s">
        <v>194</v>
      </c>
      <c r="K191" s="163"/>
      <c r="L191" s="163"/>
      <c r="M191" s="163"/>
      <c r="N191" s="50"/>
    </row>
    <row r="192" spans="2:14" hidden="1">
      <c r="B192" s="492"/>
      <c r="C192" s="493"/>
      <c r="D192" s="493"/>
      <c r="E192" s="493"/>
      <c r="F192" s="493"/>
      <c r="G192" s="494"/>
      <c r="H192" s="91"/>
      <c r="I192" s="92"/>
      <c r="J192" s="162" t="s">
        <v>346</v>
      </c>
      <c r="K192" s="93"/>
      <c r="L192" s="93"/>
      <c r="M192" s="93"/>
      <c r="N192" s="88"/>
    </row>
    <row r="193" spans="2:14" hidden="1">
      <c r="B193" s="99"/>
      <c r="C193" s="100"/>
      <c r="D193" s="100"/>
      <c r="E193" s="100"/>
      <c r="F193" s="100"/>
      <c r="G193" s="101"/>
      <c r="H193" s="107"/>
      <c r="I193" s="108"/>
      <c r="J193" s="162" t="s">
        <v>349</v>
      </c>
      <c r="K193" s="105"/>
      <c r="L193" s="105"/>
      <c r="M193" s="105"/>
      <c r="N193" s="106"/>
    </row>
    <row r="194" spans="2:14" hidden="1">
      <c r="B194" s="492"/>
      <c r="C194" s="493"/>
      <c r="D194" s="493"/>
      <c r="E194" s="493"/>
      <c r="F194" s="493"/>
      <c r="G194" s="494"/>
      <c r="H194" s="5"/>
      <c r="I194" s="10"/>
      <c r="J194" s="162" t="s">
        <v>350</v>
      </c>
      <c r="K194" s="163"/>
      <c r="L194" s="163"/>
      <c r="M194" s="163"/>
      <c r="N194" s="50"/>
    </row>
    <row r="195" spans="2:14" hidden="1">
      <c r="B195" s="492"/>
      <c r="C195" s="493"/>
      <c r="D195" s="493"/>
      <c r="E195" s="493"/>
      <c r="F195" s="493"/>
      <c r="G195" s="494"/>
      <c r="H195" s="5"/>
      <c r="I195" s="10"/>
      <c r="J195" s="162" t="s">
        <v>351</v>
      </c>
      <c r="K195" s="44"/>
      <c r="L195" s="44"/>
      <c r="M195" s="44"/>
      <c r="N195" s="50"/>
    </row>
    <row r="196" spans="2:14" hidden="1">
      <c r="B196" s="264"/>
      <c r="C196" s="265"/>
      <c r="D196" s="265"/>
      <c r="E196" s="265"/>
      <c r="F196" s="265"/>
      <c r="G196" s="266"/>
      <c r="H196" s="267"/>
      <c r="I196" s="268"/>
      <c r="J196" s="162"/>
      <c r="K196" s="263"/>
      <c r="L196" s="263"/>
      <c r="M196" s="263"/>
      <c r="N196" s="262"/>
    </row>
    <row r="197" spans="2:14" hidden="1">
      <c r="B197" s="264"/>
      <c r="C197" s="265"/>
      <c r="D197" s="265"/>
      <c r="E197" s="265"/>
      <c r="F197" s="265"/>
      <c r="G197" s="266"/>
      <c r="H197" s="267"/>
      <c r="I197" s="268"/>
      <c r="J197" s="162"/>
      <c r="K197" s="263"/>
      <c r="L197" s="263"/>
      <c r="M197" s="263"/>
      <c r="N197" s="262"/>
    </row>
    <row r="198" spans="2:14" hidden="1">
      <c r="B198" s="264"/>
      <c r="C198" s="265"/>
      <c r="D198" s="265"/>
      <c r="E198" s="265"/>
      <c r="F198" s="265"/>
      <c r="G198" s="266"/>
      <c r="H198" s="267"/>
      <c r="I198" s="268"/>
      <c r="J198" s="162"/>
      <c r="K198" s="263"/>
      <c r="L198" s="263"/>
      <c r="M198" s="263"/>
      <c r="N198" s="262"/>
    </row>
    <row r="199" spans="2:14" hidden="1">
      <c r="B199" s="264"/>
      <c r="C199" s="265"/>
      <c r="D199" s="265"/>
      <c r="E199" s="265"/>
      <c r="F199" s="265"/>
      <c r="G199" s="266"/>
      <c r="H199" s="267"/>
      <c r="I199" s="268"/>
      <c r="J199" s="162"/>
      <c r="K199" s="263"/>
      <c r="L199" s="263"/>
      <c r="M199" s="263"/>
      <c r="N199" s="262"/>
    </row>
    <row r="200" spans="2:14" hidden="1">
      <c r="B200" s="264"/>
      <c r="C200" s="265"/>
      <c r="D200" s="265"/>
      <c r="E200" s="265"/>
      <c r="F200" s="265"/>
      <c r="G200" s="266"/>
      <c r="H200" s="267"/>
      <c r="I200" s="268"/>
      <c r="J200" s="162"/>
      <c r="K200" s="263"/>
      <c r="L200" s="263"/>
      <c r="M200" s="263"/>
      <c r="N200" s="262"/>
    </row>
    <row r="201" spans="2:14" hidden="1">
      <c r="B201" s="492"/>
      <c r="C201" s="493"/>
      <c r="D201" s="493"/>
      <c r="E201" s="493"/>
      <c r="F201" s="493"/>
      <c r="G201" s="494"/>
      <c r="H201" s="5"/>
      <c r="I201" s="10"/>
      <c r="J201" s="167"/>
      <c r="K201" s="163"/>
      <c r="L201" s="163"/>
      <c r="M201" s="163"/>
      <c r="N201" s="50"/>
    </row>
    <row r="202" spans="2:14">
      <c r="B202" s="492"/>
      <c r="C202" s="493"/>
      <c r="D202" s="493"/>
      <c r="E202" s="493"/>
      <c r="F202" s="493"/>
      <c r="G202" s="494"/>
      <c r="H202" s="5"/>
      <c r="I202" s="10"/>
      <c r="J202" s="167" t="s">
        <v>322</v>
      </c>
      <c r="K202" s="182">
        <f>SUM(K203:K213)</f>
        <v>958201</v>
      </c>
      <c r="L202" s="182">
        <f t="shared" ref="L202" si="39">SUM(L203:L213)</f>
        <v>913165</v>
      </c>
      <c r="M202" s="182">
        <f t="shared" ref="M202" si="40">SUM(M203:M213)</f>
        <v>913165</v>
      </c>
      <c r="N202" s="50"/>
    </row>
    <row r="203" spans="2:14">
      <c r="B203" s="492"/>
      <c r="C203" s="493"/>
      <c r="D203" s="493"/>
      <c r="E203" s="493"/>
      <c r="F203" s="493"/>
      <c r="G203" s="494"/>
      <c r="H203" s="5"/>
      <c r="I203" s="10"/>
      <c r="J203" s="162" t="s">
        <v>189</v>
      </c>
      <c r="K203" s="373">
        <v>74036</v>
      </c>
      <c r="L203" s="286">
        <v>17000</v>
      </c>
      <c r="M203" s="286">
        <f>L203</f>
        <v>17000</v>
      </c>
      <c r="N203" s="50"/>
    </row>
    <row r="204" spans="2:14" hidden="1">
      <c r="B204" s="264"/>
      <c r="C204" s="265"/>
      <c r="D204" s="265"/>
      <c r="E204" s="265"/>
      <c r="F204" s="265"/>
      <c r="G204" s="266"/>
      <c r="H204" s="267"/>
      <c r="I204" s="268"/>
      <c r="J204" s="162" t="s">
        <v>397</v>
      </c>
      <c r="K204" s="263"/>
      <c r="L204" s="263"/>
      <c r="M204" s="263"/>
      <c r="N204" s="262"/>
    </row>
    <row r="205" spans="2:14">
      <c r="B205" s="99"/>
      <c r="C205" s="100"/>
      <c r="D205" s="100"/>
      <c r="E205" s="100"/>
      <c r="F205" s="100"/>
      <c r="G205" s="101"/>
      <c r="H205" s="107"/>
      <c r="I205" s="108"/>
      <c r="J205" s="279" t="s">
        <v>400</v>
      </c>
      <c r="K205" s="286">
        <v>851601</v>
      </c>
      <c r="L205" s="286">
        <v>863601</v>
      </c>
      <c r="M205" s="286">
        <v>863601</v>
      </c>
      <c r="N205" s="106"/>
    </row>
    <row r="206" spans="2:14">
      <c r="B206" s="99"/>
      <c r="C206" s="100"/>
      <c r="D206" s="100"/>
      <c r="E206" s="100"/>
      <c r="F206" s="100"/>
      <c r="G206" s="101"/>
      <c r="H206" s="107"/>
      <c r="I206" s="108"/>
      <c r="J206" s="162" t="s">
        <v>191</v>
      </c>
      <c r="K206" s="286">
        <v>32564</v>
      </c>
      <c r="L206" s="286">
        <f>K206</f>
        <v>32564</v>
      </c>
      <c r="M206" s="286">
        <f>K206</f>
        <v>32564</v>
      </c>
      <c r="N206" s="106"/>
    </row>
    <row r="207" spans="2:14" hidden="1">
      <c r="B207" s="99"/>
      <c r="C207" s="100"/>
      <c r="D207" s="100"/>
      <c r="E207" s="100"/>
      <c r="F207" s="100"/>
      <c r="G207" s="101"/>
      <c r="H207" s="107"/>
      <c r="I207" s="108"/>
      <c r="J207" s="162" t="s">
        <v>347</v>
      </c>
      <c r="K207" s="105">
        <v>0</v>
      </c>
      <c r="L207" s="105">
        <f>K207</f>
        <v>0</v>
      </c>
      <c r="M207" s="105">
        <f>L207</f>
        <v>0</v>
      </c>
      <c r="N207" s="106"/>
    </row>
    <row r="208" spans="2:14" hidden="1">
      <c r="B208" s="99"/>
      <c r="C208" s="100"/>
      <c r="D208" s="100"/>
      <c r="E208" s="100"/>
      <c r="F208" s="100"/>
      <c r="G208" s="101"/>
      <c r="H208" s="107"/>
      <c r="I208" s="108"/>
      <c r="J208" s="162" t="s">
        <v>193</v>
      </c>
      <c r="K208" s="105"/>
      <c r="L208" s="105"/>
      <c r="M208" s="105"/>
      <c r="N208" s="106"/>
    </row>
    <row r="209" spans="2:14" hidden="1">
      <c r="B209" s="99"/>
      <c r="C209" s="100"/>
      <c r="D209" s="100"/>
      <c r="E209" s="100"/>
      <c r="F209" s="100"/>
      <c r="G209" s="101"/>
      <c r="H209" s="107"/>
      <c r="I209" s="108"/>
      <c r="J209" s="162" t="s">
        <v>194</v>
      </c>
      <c r="K209" s="163"/>
      <c r="L209" s="163"/>
      <c r="M209" s="163"/>
      <c r="N209" s="106"/>
    </row>
    <row r="210" spans="2:14" hidden="1">
      <c r="B210" s="99"/>
      <c r="C210" s="100"/>
      <c r="D210" s="100"/>
      <c r="E210" s="100"/>
      <c r="F210" s="100"/>
      <c r="G210" s="101"/>
      <c r="H210" s="107"/>
      <c r="I210" s="108"/>
      <c r="J210" s="162" t="s">
        <v>346</v>
      </c>
      <c r="K210" s="105">
        <v>0</v>
      </c>
      <c r="L210" s="105">
        <v>0</v>
      </c>
      <c r="M210" s="105">
        <v>0</v>
      </c>
      <c r="N210" s="106"/>
    </row>
    <row r="211" spans="2:14" hidden="1">
      <c r="B211" s="99"/>
      <c r="C211" s="100"/>
      <c r="D211" s="100"/>
      <c r="E211" s="100"/>
      <c r="F211" s="100"/>
      <c r="G211" s="101"/>
      <c r="H211" s="107"/>
      <c r="I211" s="108"/>
      <c r="J211" s="162" t="s">
        <v>349</v>
      </c>
      <c r="K211" s="105"/>
      <c r="L211" s="105"/>
      <c r="M211" s="105"/>
      <c r="N211" s="106"/>
    </row>
    <row r="212" spans="2:14" hidden="1">
      <c r="B212" s="99"/>
      <c r="C212" s="100"/>
      <c r="D212" s="100"/>
      <c r="E212" s="100"/>
      <c r="F212" s="100"/>
      <c r="G212" s="101"/>
      <c r="H212" s="107"/>
      <c r="I212" s="108"/>
      <c r="J212" s="162" t="s">
        <v>350</v>
      </c>
      <c r="K212" s="105"/>
      <c r="L212" s="105"/>
      <c r="M212" s="105"/>
      <c r="N212" s="106"/>
    </row>
    <row r="213" spans="2:14" hidden="1">
      <c r="B213" s="99"/>
      <c r="C213" s="100"/>
      <c r="D213" s="100"/>
      <c r="E213" s="100"/>
      <c r="F213" s="100"/>
      <c r="G213" s="101"/>
      <c r="H213" s="107"/>
      <c r="I213" s="108"/>
      <c r="J213" s="162" t="s">
        <v>351</v>
      </c>
      <c r="K213" s="105"/>
      <c r="L213" s="105"/>
      <c r="M213" s="105"/>
      <c r="N213" s="106"/>
    </row>
    <row r="214" spans="2:14" hidden="1">
      <c r="B214" s="264"/>
      <c r="C214" s="265"/>
      <c r="D214" s="265"/>
      <c r="E214" s="265"/>
      <c r="F214" s="265"/>
      <c r="G214" s="266"/>
      <c r="H214" s="267"/>
      <c r="I214" s="268"/>
      <c r="J214" s="162"/>
      <c r="K214" s="263"/>
      <c r="L214" s="263"/>
      <c r="M214" s="263"/>
      <c r="N214" s="262"/>
    </row>
    <row r="215" spans="2:14" hidden="1">
      <c r="B215" s="264"/>
      <c r="C215" s="265"/>
      <c r="D215" s="265"/>
      <c r="E215" s="265"/>
      <c r="F215" s="265"/>
      <c r="G215" s="266"/>
      <c r="H215" s="267"/>
      <c r="I215" s="268"/>
      <c r="J215" s="162"/>
      <c r="K215" s="263"/>
      <c r="L215" s="263"/>
      <c r="M215" s="263"/>
      <c r="N215" s="262"/>
    </row>
    <row r="216" spans="2:14" hidden="1">
      <c r="B216" s="264"/>
      <c r="C216" s="265"/>
      <c r="D216" s="265"/>
      <c r="E216" s="265"/>
      <c r="F216" s="265"/>
      <c r="G216" s="266"/>
      <c r="H216" s="267"/>
      <c r="I216" s="268"/>
      <c r="J216" s="162"/>
      <c r="K216" s="263"/>
      <c r="L216" s="263"/>
      <c r="M216" s="263"/>
      <c r="N216" s="262"/>
    </row>
    <row r="217" spans="2:14" hidden="1">
      <c r="B217" s="264"/>
      <c r="C217" s="265"/>
      <c r="D217" s="265"/>
      <c r="E217" s="265"/>
      <c r="F217" s="265"/>
      <c r="G217" s="266"/>
      <c r="H217" s="267"/>
      <c r="I217" s="268"/>
      <c r="J217" s="162"/>
      <c r="K217" s="263"/>
      <c r="L217" s="263"/>
      <c r="M217" s="263"/>
      <c r="N217" s="262"/>
    </row>
    <row r="218" spans="2:14" hidden="1">
      <c r="B218" s="264"/>
      <c r="C218" s="265"/>
      <c r="D218" s="265"/>
      <c r="E218" s="265"/>
      <c r="F218" s="265"/>
      <c r="G218" s="266"/>
      <c r="H218" s="267"/>
      <c r="I218" s="268"/>
      <c r="J218" s="162"/>
      <c r="K218" s="263"/>
      <c r="L218" s="263"/>
      <c r="M218" s="263"/>
      <c r="N218" s="262"/>
    </row>
    <row r="219" spans="2:14" hidden="1">
      <c r="B219" s="174"/>
      <c r="C219" s="175"/>
      <c r="D219" s="175"/>
      <c r="E219" s="175"/>
      <c r="F219" s="175"/>
      <c r="G219" s="176"/>
      <c r="H219" s="178"/>
      <c r="I219" s="179"/>
      <c r="J219" s="162"/>
      <c r="K219" s="180"/>
      <c r="L219" s="180"/>
      <c r="M219" s="180"/>
      <c r="N219" s="177"/>
    </row>
    <row r="220" spans="2:14">
      <c r="B220" s="492"/>
      <c r="C220" s="493"/>
      <c r="D220" s="493"/>
      <c r="E220" s="493"/>
      <c r="F220" s="493"/>
      <c r="G220" s="494"/>
      <c r="H220" s="191"/>
      <c r="I220" s="192"/>
      <c r="J220" s="167" t="s">
        <v>368</v>
      </c>
      <c r="K220" s="182">
        <f>K221</f>
        <v>360000</v>
      </c>
      <c r="L220" s="182">
        <f t="shared" ref="L220:M220" si="41">L221</f>
        <v>0</v>
      </c>
      <c r="M220" s="182">
        <f t="shared" si="41"/>
        <v>0</v>
      </c>
      <c r="N220" s="190"/>
    </row>
    <row r="221" spans="2:14">
      <c r="B221" s="492"/>
      <c r="C221" s="493"/>
      <c r="D221" s="493"/>
      <c r="E221" s="493"/>
      <c r="F221" s="493"/>
      <c r="G221" s="494"/>
      <c r="H221" s="191"/>
      <c r="I221" s="192"/>
      <c r="J221" s="162" t="s">
        <v>194</v>
      </c>
      <c r="K221" s="193">
        <v>360000</v>
      </c>
      <c r="L221" s="193"/>
      <c r="M221" s="193"/>
      <c r="N221" s="190"/>
    </row>
    <row r="222" spans="2:14" hidden="1">
      <c r="B222" s="195"/>
      <c r="C222" s="196"/>
      <c r="D222" s="196"/>
      <c r="E222" s="196"/>
      <c r="F222" s="196"/>
      <c r="G222" s="197"/>
      <c r="H222" s="191"/>
      <c r="I222" s="192"/>
      <c r="J222" s="162"/>
      <c r="K222" s="193"/>
      <c r="L222" s="193"/>
      <c r="M222" s="193"/>
      <c r="N222" s="190"/>
    </row>
    <row r="223" spans="2:14" hidden="1">
      <c r="B223" s="174"/>
      <c r="C223" s="175"/>
      <c r="D223" s="175"/>
      <c r="E223" s="175"/>
      <c r="F223" s="175"/>
      <c r="G223" s="176"/>
      <c r="H223" s="178"/>
      <c r="I223" s="179"/>
      <c r="J223" s="167" t="s">
        <v>323</v>
      </c>
      <c r="K223" s="182">
        <f>SUM(K224:K234)</f>
        <v>0</v>
      </c>
      <c r="L223" s="182">
        <f t="shared" ref="L223" si="42">SUM(L224:L234)</f>
        <v>0</v>
      </c>
      <c r="M223" s="182">
        <f t="shared" ref="M223" si="43">SUM(M224:M234)</f>
        <v>0</v>
      </c>
      <c r="N223" s="177"/>
    </row>
    <row r="224" spans="2:14" hidden="1">
      <c r="B224" s="174"/>
      <c r="C224" s="175"/>
      <c r="D224" s="175"/>
      <c r="E224" s="175"/>
      <c r="F224" s="175"/>
      <c r="G224" s="176"/>
      <c r="H224" s="178"/>
      <c r="I224" s="179"/>
      <c r="J224" s="162" t="s">
        <v>189</v>
      </c>
      <c r="K224" s="180"/>
      <c r="L224" s="180"/>
      <c r="M224" s="180"/>
      <c r="N224" s="177"/>
    </row>
    <row r="225" spans="2:14" hidden="1">
      <c r="B225" s="264"/>
      <c r="C225" s="265"/>
      <c r="D225" s="265"/>
      <c r="E225" s="265"/>
      <c r="F225" s="265"/>
      <c r="G225" s="266"/>
      <c r="H225" s="267"/>
      <c r="I225" s="268"/>
      <c r="J225" s="162" t="s">
        <v>397</v>
      </c>
      <c r="K225" s="263"/>
      <c r="L225" s="263"/>
      <c r="M225" s="263"/>
      <c r="N225" s="262"/>
    </row>
    <row r="226" spans="2:14" hidden="1">
      <c r="B226" s="174"/>
      <c r="C226" s="175"/>
      <c r="D226" s="175"/>
      <c r="E226" s="175"/>
      <c r="F226" s="175"/>
      <c r="G226" s="176"/>
      <c r="H226" s="178"/>
      <c r="I226" s="179"/>
      <c r="J226" s="162" t="s">
        <v>343</v>
      </c>
      <c r="K226" s="180"/>
      <c r="L226" s="180"/>
      <c r="M226" s="180"/>
      <c r="N226" s="177"/>
    </row>
    <row r="227" spans="2:14" hidden="1">
      <c r="B227" s="174"/>
      <c r="C227" s="175"/>
      <c r="D227" s="175"/>
      <c r="E227" s="175"/>
      <c r="F227" s="175"/>
      <c r="G227" s="176"/>
      <c r="H227" s="178"/>
      <c r="I227" s="179"/>
      <c r="J227" s="162" t="s">
        <v>191</v>
      </c>
      <c r="K227" s="180"/>
      <c r="L227" s="180"/>
      <c r="M227" s="180"/>
      <c r="N227" s="177"/>
    </row>
    <row r="228" spans="2:14" hidden="1">
      <c r="B228" s="174"/>
      <c r="C228" s="175"/>
      <c r="D228" s="175"/>
      <c r="E228" s="175"/>
      <c r="F228" s="175"/>
      <c r="G228" s="176"/>
      <c r="H228" s="178"/>
      <c r="I228" s="179"/>
      <c r="J228" s="162" t="s">
        <v>347</v>
      </c>
      <c r="K228" s="180"/>
      <c r="L228" s="180"/>
      <c r="M228" s="180"/>
      <c r="N228" s="177"/>
    </row>
    <row r="229" spans="2:14" hidden="1">
      <c r="B229" s="174"/>
      <c r="C229" s="175"/>
      <c r="D229" s="175"/>
      <c r="E229" s="175"/>
      <c r="F229" s="175"/>
      <c r="G229" s="176"/>
      <c r="H229" s="178"/>
      <c r="I229" s="179"/>
      <c r="J229" s="162" t="s">
        <v>193</v>
      </c>
      <c r="K229" s="180"/>
      <c r="L229" s="180"/>
      <c r="M229" s="180"/>
      <c r="N229" s="177"/>
    </row>
    <row r="230" spans="2:14" hidden="1">
      <c r="B230" s="174"/>
      <c r="C230" s="175"/>
      <c r="D230" s="175"/>
      <c r="E230" s="175"/>
      <c r="F230" s="175"/>
      <c r="G230" s="176"/>
      <c r="H230" s="178"/>
      <c r="I230" s="179"/>
      <c r="J230" s="162" t="s">
        <v>194</v>
      </c>
      <c r="K230" s="180"/>
      <c r="L230" s="180"/>
      <c r="M230" s="180"/>
      <c r="N230" s="177"/>
    </row>
    <row r="231" spans="2:14" hidden="1">
      <c r="B231" s="174"/>
      <c r="C231" s="175"/>
      <c r="D231" s="175"/>
      <c r="E231" s="175"/>
      <c r="F231" s="175"/>
      <c r="G231" s="176"/>
      <c r="H231" s="178"/>
      <c r="I231" s="179"/>
      <c r="J231" s="162" t="s">
        <v>346</v>
      </c>
      <c r="K231" s="180"/>
      <c r="L231" s="180"/>
      <c r="M231" s="180"/>
      <c r="N231" s="177"/>
    </row>
    <row r="232" spans="2:14" hidden="1">
      <c r="B232" s="174"/>
      <c r="C232" s="175"/>
      <c r="D232" s="175"/>
      <c r="E232" s="175"/>
      <c r="F232" s="175"/>
      <c r="G232" s="176"/>
      <c r="H232" s="178"/>
      <c r="I232" s="179"/>
      <c r="J232" s="162" t="s">
        <v>349</v>
      </c>
      <c r="K232" s="180"/>
      <c r="L232" s="180"/>
      <c r="M232" s="180"/>
      <c r="N232" s="177"/>
    </row>
    <row r="233" spans="2:14" hidden="1">
      <c r="B233" s="174"/>
      <c r="C233" s="175"/>
      <c r="D233" s="175"/>
      <c r="E233" s="175"/>
      <c r="F233" s="175"/>
      <c r="G233" s="176"/>
      <c r="H233" s="178"/>
      <c r="I233" s="179"/>
      <c r="J233" s="162" t="s">
        <v>350</v>
      </c>
      <c r="K233" s="180"/>
      <c r="L233" s="180"/>
      <c r="M233" s="180"/>
      <c r="N233" s="177"/>
    </row>
    <row r="234" spans="2:14" hidden="1">
      <c r="B234" s="174"/>
      <c r="C234" s="175"/>
      <c r="D234" s="175"/>
      <c r="E234" s="175"/>
      <c r="F234" s="175"/>
      <c r="G234" s="176"/>
      <c r="H234" s="178"/>
      <c r="I234" s="179"/>
      <c r="J234" s="162" t="s">
        <v>351</v>
      </c>
      <c r="K234" s="180"/>
      <c r="L234" s="180"/>
      <c r="M234" s="180"/>
      <c r="N234" s="177"/>
    </row>
    <row r="235" spans="2:14" hidden="1">
      <c r="B235" s="264"/>
      <c r="C235" s="265"/>
      <c r="D235" s="265"/>
      <c r="E235" s="265"/>
      <c r="F235" s="265"/>
      <c r="G235" s="266"/>
      <c r="H235" s="267"/>
      <c r="I235" s="268"/>
      <c r="J235" s="162"/>
      <c r="K235" s="263"/>
      <c r="L235" s="263"/>
      <c r="M235" s="263"/>
      <c r="N235" s="262"/>
    </row>
    <row r="236" spans="2:14" hidden="1">
      <c r="B236" s="264"/>
      <c r="C236" s="265"/>
      <c r="D236" s="265"/>
      <c r="E236" s="265"/>
      <c r="F236" s="265"/>
      <c r="G236" s="266"/>
      <c r="H236" s="267"/>
      <c r="I236" s="268"/>
      <c r="J236" s="162"/>
      <c r="K236" s="263"/>
      <c r="L236" s="263"/>
      <c r="M236" s="263"/>
      <c r="N236" s="262"/>
    </row>
    <row r="237" spans="2:14" hidden="1">
      <c r="B237" s="264"/>
      <c r="C237" s="265"/>
      <c r="D237" s="265"/>
      <c r="E237" s="265"/>
      <c r="F237" s="265"/>
      <c r="G237" s="266"/>
      <c r="H237" s="267"/>
      <c r="I237" s="268"/>
      <c r="J237" s="162"/>
      <c r="K237" s="263"/>
      <c r="L237" s="263"/>
      <c r="M237" s="263"/>
      <c r="N237" s="262"/>
    </row>
    <row r="238" spans="2:14" hidden="1">
      <c r="B238" s="264"/>
      <c r="C238" s="265"/>
      <c r="D238" s="265"/>
      <c r="E238" s="265"/>
      <c r="F238" s="265"/>
      <c r="G238" s="266"/>
      <c r="H238" s="267"/>
      <c r="I238" s="268"/>
      <c r="J238" s="162"/>
      <c r="K238" s="263"/>
      <c r="L238" s="263"/>
      <c r="M238" s="263"/>
      <c r="N238" s="262"/>
    </row>
    <row r="239" spans="2:14" hidden="1">
      <c r="B239" s="264"/>
      <c r="C239" s="265"/>
      <c r="D239" s="265"/>
      <c r="E239" s="265"/>
      <c r="F239" s="265"/>
      <c r="G239" s="266"/>
      <c r="H239" s="267"/>
      <c r="I239" s="268"/>
      <c r="J239" s="162"/>
      <c r="K239" s="263"/>
      <c r="L239" s="263"/>
      <c r="M239" s="263"/>
      <c r="N239" s="262"/>
    </row>
    <row r="240" spans="2:14" hidden="1">
      <c r="B240" s="264"/>
      <c r="C240" s="265"/>
      <c r="D240" s="265"/>
      <c r="E240" s="265"/>
      <c r="F240" s="265"/>
      <c r="G240" s="266"/>
      <c r="H240" s="267"/>
      <c r="I240" s="268"/>
      <c r="J240" s="162"/>
      <c r="K240" s="263"/>
      <c r="L240" s="263"/>
      <c r="M240" s="263"/>
      <c r="N240" s="262"/>
    </row>
    <row r="241" spans="2:14" hidden="1">
      <c r="B241" s="174"/>
      <c r="C241" s="175"/>
      <c r="D241" s="175"/>
      <c r="E241" s="175"/>
      <c r="F241" s="175"/>
      <c r="G241" s="176"/>
      <c r="H241" s="178"/>
      <c r="I241" s="179"/>
      <c r="J241" s="162"/>
      <c r="K241" s="180"/>
      <c r="L241" s="180"/>
      <c r="M241" s="180"/>
      <c r="N241" s="177"/>
    </row>
    <row r="242" spans="2:14">
      <c r="B242" s="174"/>
      <c r="C242" s="175"/>
      <c r="D242" s="175"/>
      <c r="E242" s="175"/>
      <c r="F242" s="175"/>
      <c r="G242" s="176"/>
      <c r="H242" s="178"/>
      <c r="I242" s="179"/>
      <c r="J242" s="167" t="s">
        <v>326</v>
      </c>
      <c r="K242" s="182">
        <f>K243+K244</f>
        <v>7637439</v>
      </c>
      <c r="L242" s="182">
        <f t="shared" ref="L242:M242" si="44">L243+L244</f>
        <v>7637439</v>
      </c>
      <c r="M242" s="182">
        <f t="shared" si="44"/>
        <v>7637439</v>
      </c>
      <c r="N242" s="177"/>
    </row>
    <row r="243" spans="2:14">
      <c r="B243" s="174"/>
      <c r="C243" s="175"/>
      <c r="D243" s="175"/>
      <c r="E243" s="175"/>
      <c r="F243" s="175"/>
      <c r="G243" s="176"/>
      <c r="H243" s="178"/>
      <c r="I243" s="179"/>
      <c r="J243" s="279" t="s">
        <v>189</v>
      </c>
      <c r="K243" s="286">
        <v>6046680</v>
      </c>
      <c r="L243" s="286">
        <v>6046680</v>
      </c>
      <c r="M243" s="286">
        <v>6046680</v>
      </c>
      <c r="N243" s="177"/>
    </row>
    <row r="244" spans="2:14">
      <c r="B244" s="174"/>
      <c r="C244" s="175"/>
      <c r="D244" s="175"/>
      <c r="E244" s="175"/>
      <c r="F244" s="175"/>
      <c r="G244" s="176"/>
      <c r="H244" s="178"/>
      <c r="I244" s="179"/>
      <c r="J244" s="279" t="s">
        <v>194</v>
      </c>
      <c r="K244" s="286">
        <v>1590759</v>
      </c>
      <c r="L244" s="286">
        <v>1590759</v>
      </c>
      <c r="M244" s="286">
        <v>1590759</v>
      </c>
      <c r="N244" s="177"/>
    </row>
    <row r="245" spans="2:14" hidden="1">
      <c r="B245" s="174"/>
      <c r="C245" s="175"/>
      <c r="D245" s="175"/>
      <c r="E245" s="175"/>
      <c r="F245" s="175"/>
      <c r="G245" s="176"/>
      <c r="H245" s="178"/>
      <c r="I245" s="179"/>
      <c r="J245" s="162"/>
      <c r="K245" s="180"/>
      <c r="L245" s="180"/>
      <c r="M245" s="180"/>
      <c r="N245" s="177"/>
    </row>
    <row r="246" spans="2:14">
      <c r="B246" s="174"/>
      <c r="C246" s="175"/>
      <c r="D246" s="175"/>
      <c r="E246" s="175"/>
      <c r="F246" s="175"/>
      <c r="G246" s="176"/>
      <c r="H246" s="178"/>
      <c r="I246" s="179"/>
      <c r="J246" s="183" t="s">
        <v>325</v>
      </c>
      <c r="K246" s="182">
        <f>SUM(K247:K257)</f>
        <v>50000</v>
      </c>
      <c r="L246" s="182">
        <f t="shared" ref="L246:M246" si="45">SUM(L247:L257)</f>
        <v>50000</v>
      </c>
      <c r="M246" s="182">
        <f t="shared" si="45"/>
        <v>50000</v>
      </c>
      <c r="N246" s="177"/>
    </row>
    <row r="247" spans="2:14">
      <c r="B247" s="174"/>
      <c r="C247" s="175"/>
      <c r="D247" s="175"/>
      <c r="E247" s="175"/>
      <c r="F247" s="175"/>
      <c r="G247" s="176"/>
      <c r="H247" s="178"/>
      <c r="I247" s="179"/>
      <c r="J247" s="162" t="s">
        <v>189</v>
      </c>
      <c r="K247" s="180">
        <v>50000</v>
      </c>
      <c r="L247" s="180">
        <f>K247</f>
        <v>50000</v>
      </c>
      <c r="M247" s="180">
        <f>K247</f>
        <v>50000</v>
      </c>
      <c r="N247" s="177"/>
    </row>
    <row r="248" spans="2:14" hidden="1">
      <c r="B248" s="264"/>
      <c r="C248" s="265"/>
      <c r="D248" s="265"/>
      <c r="E248" s="265"/>
      <c r="F248" s="265"/>
      <c r="G248" s="266"/>
      <c r="H248" s="267"/>
      <c r="I248" s="268"/>
      <c r="J248" s="162" t="s">
        <v>397</v>
      </c>
      <c r="K248" s="263"/>
      <c r="L248" s="263"/>
      <c r="M248" s="263"/>
      <c r="N248" s="262"/>
    </row>
    <row r="249" spans="2:14" hidden="1">
      <c r="B249" s="174"/>
      <c r="C249" s="175"/>
      <c r="D249" s="175"/>
      <c r="E249" s="175"/>
      <c r="F249" s="175"/>
      <c r="G249" s="176"/>
      <c r="H249" s="178"/>
      <c r="I249" s="179"/>
      <c r="J249" s="162" t="s">
        <v>343</v>
      </c>
      <c r="K249" s="180"/>
      <c r="L249" s="180"/>
      <c r="M249" s="180"/>
      <c r="N249" s="177"/>
    </row>
    <row r="250" spans="2:14" hidden="1">
      <c r="B250" s="174"/>
      <c r="C250" s="175"/>
      <c r="D250" s="175"/>
      <c r="E250" s="175"/>
      <c r="F250" s="175"/>
      <c r="G250" s="176"/>
      <c r="H250" s="178"/>
      <c r="I250" s="179"/>
      <c r="J250" s="162" t="s">
        <v>191</v>
      </c>
      <c r="K250" s="180"/>
      <c r="L250" s="180"/>
      <c r="M250" s="180"/>
      <c r="N250" s="177"/>
    </row>
    <row r="251" spans="2:14" hidden="1">
      <c r="B251" s="174"/>
      <c r="C251" s="175"/>
      <c r="D251" s="175"/>
      <c r="E251" s="175"/>
      <c r="F251" s="175"/>
      <c r="G251" s="176"/>
      <c r="H251" s="178"/>
      <c r="I251" s="179"/>
      <c r="J251" s="162" t="s">
        <v>347</v>
      </c>
      <c r="K251" s="180"/>
      <c r="L251" s="180"/>
      <c r="M251" s="180"/>
      <c r="N251" s="177"/>
    </row>
    <row r="252" spans="2:14" hidden="1">
      <c r="B252" s="174"/>
      <c r="C252" s="175"/>
      <c r="D252" s="175"/>
      <c r="E252" s="175"/>
      <c r="F252" s="175"/>
      <c r="G252" s="176"/>
      <c r="H252" s="178"/>
      <c r="I252" s="179"/>
      <c r="J252" s="162" t="s">
        <v>193</v>
      </c>
      <c r="K252" s="180"/>
      <c r="L252" s="180"/>
      <c r="M252" s="180"/>
      <c r="N252" s="177"/>
    </row>
    <row r="253" spans="2:14" hidden="1">
      <c r="B253" s="174"/>
      <c r="C253" s="175"/>
      <c r="D253" s="175"/>
      <c r="E253" s="175"/>
      <c r="F253" s="175"/>
      <c r="G253" s="176"/>
      <c r="H253" s="178"/>
      <c r="I253" s="179"/>
      <c r="J253" s="162" t="s">
        <v>194</v>
      </c>
      <c r="K253" s="180"/>
      <c r="L253" s="180"/>
      <c r="M253" s="180"/>
      <c r="N253" s="177"/>
    </row>
    <row r="254" spans="2:14" hidden="1">
      <c r="B254" s="174"/>
      <c r="C254" s="175"/>
      <c r="D254" s="175"/>
      <c r="E254" s="175"/>
      <c r="F254" s="175"/>
      <c r="G254" s="176"/>
      <c r="H254" s="178"/>
      <c r="I254" s="179"/>
      <c r="J254" s="162" t="s">
        <v>346</v>
      </c>
      <c r="K254" s="180"/>
      <c r="L254" s="180"/>
      <c r="M254" s="180"/>
      <c r="N254" s="177"/>
    </row>
    <row r="255" spans="2:14" hidden="1">
      <c r="B255" s="174"/>
      <c r="C255" s="175"/>
      <c r="D255" s="175"/>
      <c r="E255" s="175"/>
      <c r="F255" s="175"/>
      <c r="G255" s="176"/>
      <c r="H255" s="178"/>
      <c r="I255" s="179"/>
      <c r="J255" s="162" t="s">
        <v>349</v>
      </c>
      <c r="K255" s="180"/>
      <c r="L255" s="180"/>
      <c r="M255" s="180"/>
      <c r="N255" s="177"/>
    </row>
    <row r="256" spans="2:14" hidden="1">
      <c r="B256" s="99"/>
      <c r="C256" s="100"/>
      <c r="D256" s="100"/>
      <c r="E256" s="100"/>
      <c r="F256" s="100"/>
      <c r="G256" s="101"/>
      <c r="H256" s="107"/>
      <c r="I256" s="108"/>
      <c r="J256" s="162" t="s">
        <v>350</v>
      </c>
      <c r="K256" s="105"/>
      <c r="L256" s="105"/>
      <c r="M256" s="105"/>
      <c r="N256" s="106"/>
    </row>
    <row r="257" spans="2:14" hidden="1">
      <c r="B257" s="99"/>
      <c r="C257" s="100"/>
      <c r="D257" s="100"/>
      <c r="E257" s="100"/>
      <c r="F257" s="100"/>
      <c r="G257" s="101"/>
      <c r="H257" s="107"/>
      <c r="I257" s="108"/>
      <c r="J257" s="162" t="s">
        <v>351</v>
      </c>
      <c r="K257" s="105"/>
      <c r="L257" s="105"/>
      <c r="M257" s="105"/>
      <c r="N257" s="106"/>
    </row>
    <row r="258" spans="2:14" hidden="1">
      <c r="B258" s="264"/>
      <c r="C258" s="265"/>
      <c r="D258" s="265"/>
      <c r="E258" s="265"/>
      <c r="F258" s="265"/>
      <c r="G258" s="266"/>
      <c r="H258" s="267"/>
      <c r="I258" s="268"/>
      <c r="J258" s="162"/>
      <c r="K258" s="263"/>
      <c r="L258" s="263"/>
      <c r="M258" s="263"/>
      <c r="N258" s="262"/>
    </row>
    <row r="259" spans="2:14" hidden="1">
      <c r="B259" s="264"/>
      <c r="C259" s="265"/>
      <c r="D259" s="265"/>
      <c r="E259" s="265"/>
      <c r="F259" s="265"/>
      <c r="G259" s="266"/>
      <c r="H259" s="267"/>
      <c r="I259" s="268"/>
      <c r="J259" s="162"/>
      <c r="K259" s="263"/>
      <c r="L259" s="263"/>
      <c r="M259" s="263"/>
      <c r="N259" s="262"/>
    </row>
    <row r="260" spans="2:14" hidden="1">
      <c r="B260" s="264"/>
      <c r="C260" s="265"/>
      <c r="D260" s="265"/>
      <c r="E260" s="265"/>
      <c r="F260" s="265"/>
      <c r="G260" s="266"/>
      <c r="H260" s="267"/>
      <c r="I260" s="268"/>
      <c r="J260" s="162"/>
      <c r="K260" s="263"/>
      <c r="L260" s="263"/>
      <c r="M260" s="263"/>
      <c r="N260" s="262"/>
    </row>
    <row r="261" spans="2:14" hidden="1">
      <c r="B261" s="264"/>
      <c r="C261" s="265"/>
      <c r="D261" s="265"/>
      <c r="E261" s="265"/>
      <c r="F261" s="265"/>
      <c r="G261" s="266"/>
      <c r="H261" s="267"/>
      <c r="I261" s="268"/>
      <c r="J261" s="162"/>
      <c r="K261" s="263"/>
      <c r="L261" s="263"/>
      <c r="M261" s="263"/>
      <c r="N261" s="262"/>
    </row>
    <row r="262" spans="2:14" hidden="1">
      <c r="B262" s="264"/>
      <c r="C262" s="265"/>
      <c r="D262" s="265"/>
      <c r="E262" s="265"/>
      <c r="F262" s="265"/>
      <c r="G262" s="266"/>
      <c r="H262" s="267"/>
      <c r="I262" s="268"/>
      <c r="J262" s="162"/>
      <c r="K262" s="263"/>
      <c r="L262" s="263"/>
      <c r="M262" s="263"/>
      <c r="N262" s="262"/>
    </row>
    <row r="263" spans="2:14" hidden="1">
      <c r="B263" s="174"/>
      <c r="C263" s="175"/>
      <c r="D263" s="175"/>
      <c r="E263" s="175"/>
      <c r="F263" s="175"/>
      <c r="G263" s="176"/>
      <c r="H263" s="178"/>
      <c r="I263" s="179"/>
      <c r="J263" s="162"/>
      <c r="K263" s="180"/>
      <c r="L263" s="180"/>
      <c r="M263" s="180"/>
      <c r="N263" s="177"/>
    </row>
    <row r="264" spans="2:14">
      <c r="B264" s="174"/>
      <c r="C264" s="175"/>
      <c r="D264" s="175"/>
      <c r="E264" s="175"/>
      <c r="F264" s="175"/>
      <c r="G264" s="176"/>
      <c r="H264" s="178"/>
      <c r="I264" s="179"/>
      <c r="J264" s="183" t="s">
        <v>506</v>
      </c>
      <c r="K264" s="182">
        <f>SUM(K265:K275)</f>
        <v>70000</v>
      </c>
      <c r="L264" s="182">
        <f t="shared" ref="L264" si="46">SUM(L265:L275)</f>
        <v>70000</v>
      </c>
      <c r="M264" s="182">
        <f t="shared" ref="M264" si="47">SUM(M265:M275)</f>
        <v>70000</v>
      </c>
      <c r="N264" s="177"/>
    </row>
    <row r="265" spans="2:14">
      <c r="B265" s="174"/>
      <c r="C265" s="175"/>
      <c r="D265" s="175"/>
      <c r="E265" s="175"/>
      <c r="F265" s="175"/>
      <c r="G265" s="176"/>
      <c r="H265" s="178"/>
      <c r="I265" s="179"/>
      <c r="J265" s="162" t="s">
        <v>189</v>
      </c>
      <c r="K265" s="286">
        <v>70000</v>
      </c>
      <c r="L265" s="286">
        <f>K265</f>
        <v>70000</v>
      </c>
      <c r="M265" s="286">
        <f>K265</f>
        <v>70000</v>
      </c>
      <c r="N265" s="177"/>
    </row>
    <row r="266" spans="2:14" hidden="1">
      <c r="B266" s="264"/>
      <c r="C266" s="265"/>
      <c r="D266" s="265"/>
      <c r="E266" s="265"/>
      <c r="F266" s="265"/>
      <c r="G266" s="266"/>
      <c r="H266" s="267"/>
      <c r="I266" s="268"/>
      <c r="J266" s="162" t="s">
        <v>398</v>
      </c>
      <c r="K266" s="263"/>
      <c r="L266" s="263"/>
      <c r="M266" s="263"/>
      <c r="N266" s="262"/>
    </row>
    <row r="267" spans="2:14" hidden="1">
      <c r="B267" s="174"/>
      <c r="C267" s="175"/>
      <c r="D267" s="175"/>
      <c r="E267" s="175"/>
      <c r="F267" s="175"/>
      <c r="G267" s="176"/>
      <c r="H267" s="178"/>
      <c r="I267" s="179"/>
      <c r="J267" s="279" t="s">
        <v>400</v>
      </c>
      <c r="K267" s="180"/>
      <c r="L267" s="180"/>
      <c r="M267" s="180"/>
      <c r="N267" s="177"/>
    </row>
    <row r="268" spans="2:14" hidden="1">
      <c r="B268" s="174"/>
      <c r="C268" s="175"/>
      <c r="D268" s="175"/>
      <c r="E268" s="175"/>
      <c r="F268" s="175"/>
      <c r="G268" s="176"/>
      <c r="H268" s="178"/>
      <c r="I268" s="179"/>
      <c r="J268" s="162" t="s">
        <v>191</v>
      </c>
      <c r="K268" s="180"/>
      <c r="L268" s="180"/>
      <c r="M268" s="180"/>
      <c r="N268" s="177"/>
    </row>
    <row r="269" spans="2:14" hidden="1">
      <c r="B269" s="174"/>
      <c r="C269" s="175"/>
      <c r="D269" s="175"/>
      <c r="E269" s="175"/>
      <c r="F269" s="175"/>
      <c r="G269" s="176"/>
      <c r="H269" s="178"/>
      <c r="I269" s="179"/>
      <c r="J269" s="162" t="s">
        <v>347</v>
      </c>
      <c r="K269" s="180"/>
      <c r="L269" s="180"/>
      <c r="M269" s="180"/>
      <c r="N269" s="177"/>
    </row>
    <row r="270" spans="2:14" hidden="1">
      <c r="B270" s="174"/>
      <c r="C270" s="175"/>
      <c r="D270" s="175"/>
      <c r="E270" s="175"/>
      <c r="F270" s="175"/>
      <c r="G270" s="176"/>
      <c r="H270" s="178"/>
      <c r="I270" s="179"/>
      <c r="J270" s="162" t="s">
        <v>193</v>
      </c>
      <c r="K270" s="180"/>
      <c r="L270" s="180"/>
      <c r="M270" s="180"/>
      <c r="N270" s="177"/>
    </row>
    <row r="271" spans="2:14" hidden="1">
      <c r="B271" s="174"/>
      <c r="C271" s="175"/>
      <c r="D271" s="175"/>
      <c r="E271" s="175"/>
      <c r="F271" s="175"/>
      <c r="G271" s="176"/>
      <c r="H271" s="178"/>
      <c r="I271" s="179"/>
      <c r="J271" s="162" t="s">
        <v>194</v>
      </c>
      <c r="K271" s="180"/>
      <c r="L271" s="180"/>
      <c r="M271" s="180"/>
      <c r="N271" s="177"/>
    </row>
    <row r="272" spans="2:14" hidden="1">
      <c r="B272" s="174"/>
      <c r="C272" s="175"/>
      <c r="D272" s="175"/>
      <c r="E272" s="175"/>
      <c r="F272" s="175"/>
      <c r="G272" s="176"/>
      <c r="H272" s="178"/>
      <c r="I272" s="179"/>
      <c r="J272" s="162" t="s">
        <v>346</v>
      </c>
      <c r="K272" s="180"/>
      <c r="L272" s="180"/>
      <c r="M272" s="180"/>
      <c r="N272" s="177"/>
    </row>
    <row r="273" spans="2:14" hidden="1">
      <c r="B273" s="174"/>
      <c r="C273" s="175"/>
      <c r="D273" s="175"/>
      <c r="E273" s="175"/>
      <c r="F273" s="175"/>
      <c r="G273" s="176"/>
      <c r="H273" s="178"/>
      <c r="I273" s="179"/>
      <c r="J273" s="162" t="s">
        <v>349</v>
      </c>
      <c r="K273" s="180"/>
      <c r="L273" s="180"/>
      <c r="M273" s="180"/>
      <c r="N273" s="177"/>
    </row>
    <row r="274" spans="2:14" hidden="1">
      <c r="B274" s="174"/>
      <c r="C274" s="175"/>
      <c r="D274" s="175"/>
      <c r="E274" s="175"/>
      <c r="F274" s="175"/>
      <c r="G274" s="176"/>
      <c r="H274" s="178"/>
      <c r="I274" s="179"/>
      <c r="J274" s="162" t="s">
        <v>350</v>
      </c>
      <c r="K274" s="180"/>
      <c r="L274" s="180"/>
      <c r="M274" s="180"/>
      <c r="N274" s="177"/>
    </row>
    <row r="275" spans="2:14" hidden="1">
      <c r="B275" s="174"/>
      <c r="C275" s="175"/>
      <c r="D275" s="175"/>
      <c r="E275" s="175"/>
      <c r="F275" s="175"/>
      <c r="G275" s="176"/>
      <c r="H275" s="178"/>
      <c r="I275" s="179"/>
      <c r="J275" s="162" t="s">
        <v>351</v>
      </c>
      <c r="K275" s="180"/>
      <c r="L275" s="180"/>
      <c r="M275" s="180"/>
      <c r="N275" s="177"/>
    </row>
    <row r="276" spans="2:14" hidden="1">
      <c r="B276" s="264"/>
      <c r="C276" s="265"/>
      <c r="D276" s="265"/>
      <c r="E276" s="265"/>
      <c r="F276" s="265"/>
      <c r="G276" s="266"/>
      <c r="H276" s="267"/>
      <c r="I276" s="268"/>
      <c r="J276" s="162"/>
      <c r="K276" s="263"/>
      <c r="L276" s="263"/>
      <c r="M276" s="263"/>
      <c r="N276" s="262"/>
    </row>
    <row r="277" spans="2:14" hidden="1">
      <c r="B277" s="264"/>
      <c r="C277" s="265"/>
      <c r="D277" s="265"/>
      <c r="E277" s="265"/>
      <c r="F277" s="265"/>
      <c r="G277" s="266"/>
      <c r="H277" s="267"/>
      <c r="I277" s="268"/>
      <c r="J277" s="162"/>
      <c r="K277" s="263"/>
      <c r="L277" s="263"/>
      <c r="M277" s="263"/>
      <c r="N277" s="262"/>
    </row>
    <row r="278" spans="2:14" hidden="1">
      <c r="B278" s="264"/>
      <c r="C278" s="265"/>
      <c r="D278" s="265"/>
      <c r="E278" s="265"/>
      <c r="F278" s="265"/>
      <c r="G278" s="266"/>
      <c r="H278" s="267"/>
      <c r="I278" s="268"/>
      <c r="J278" s="162"/>
      <c r="K278" s="263"/>
      <c r="L278" s="263"/>
      <c r="M278" s="263"/>
      <c r="N278" s="262"/>
    </row>
    <row r="279" spans="2:14" hidden="1">
      <c r="B279" s="264"/>
      <c r="C279" s="265"/>
      <c r="D279" s="265"/>
      <c r="E279" s="265"/>
      <c r="F279" s="265"/>
      <c r="G279" s="266"/>
      <c r="H279" s="267"/>
      <c r="I279" s="268"/>
      <c r="J279" s="162"/>
      <c r="K279" s="263"/>
      <c r="L279" s="263"/>
      <c r="M279" s="263"/>
      <c r="N279" s="262"/>
    </row>
    <row r="280" spans="2:14" ht="17.25" hidden="1" customHeight="1">
      <c r="B280" s="264"/>
      <c r="C280" s="265"/>
      <c r="D280" s="265"/>
      <c r="E280" s="265"/>
      <c r="F280" s="265"/>
      <c r="G280" s="266"/>
      <c r="H280" s="267"/>
      <c r="I280" s="268"/>
      <c r="J280" s="162"/>
      <c r="K280" s="263"/>
      <c r="L280" s="263"/>
      <c r="M280" s="263"/>
      <c r="N280" s="262"/>
    </row>
    <row r="281" spans="2:14" hidden="1">
      <c r="B281" s="174"/>
      <c r="C281" s="175"/>
      <c r="D281" s="175"/>
      <c r="E281" s="175"/>
      <c r="F281" s="175"/>
      <c r="G281" s="176"/>
      <c r="H281" s="178"/>
      <c r="I281" s="179"/>
      <c r="J281" s="162"/>
      <c r="K281" s="180"/>
      <c r="L281" s="180"/>
      <c r="M281" s="180"/>
      <c r="N281" s="177"/>
    </row>
    <row r="282" spans="2:14">
      <c r="B282" s="174"/>
      <c r="C282" s="175"/>
      <c r="D282" s="175"/>
      <c r="E282" s="175"/>
      <c r="F282" s="175"/>
      <c r="G282" s="176"/>
      <c r="H282" s="178"/>
      <c r="I282" s="179"/>
      <c r="J282" s="183" t="s">
        <v>324</v>
      </c>
      <c r="K282" s="182">
        <f>SUM(K283:K293)</f>
        <v>330809.06</v>
      </c>
      <c r="L282" s="182">
        <f t="shared" ref="L282" si="48">SUM(L283:L293)</f>
        <v>420330.36</v>
      </c>
      <c r="M282" s="182">
        <f t="shared" ref="M282" si="49">SUM(M283:M293)</f>
        <v>420330.36</v>
      </c>
      <c r="N282" s="177"/>
    </row>
    <row r="283" spans="2:14">
      <c r="B283" s="174"/>
      <c r="C283" s="175"/>
      <c r="D283" s="175"/>
      <c r="E283" s="175"/>
      <c r="F283" s="175"/>
      <c r="G283" s="176"/>
      <c r="H283" s="178"/>
      <c r="I283" s="179"/>
      <c r="J283" s="162" t="s">
        <v>189</v>
      </c>
      <c r="K283" s="373">
        <v>81809.06</v>
      </c>
      <c r="L283" s="286">
        <v>171330.36</v>
      </c>
      <c r="M283" s="286">
        <v>171330.36</v>
      </c>
      <c r="N283" s="177"/>
    </row>
    <row r="284" spans="2:14" hidden="1">
      <c r="B284" s="264"/>
      <c r="C284" s="265"/>
      <c r="D284" s="265"/>
      <c r="E284" s="265"/>
      <c r="F284" s="265"/>
      <c r="G284" s="266"/>
      <c r="H284" s="267"/>
      <c r="I284" s="268"/>
      <c r="J284" s="162" t="s">
        <v>397</v>
      </c>
      <c r="N284" s="262"/>
    </row>
    <row r="285" spans="2:14">
      <c r="B285" s="174"/>
      <c r="C285" s="175"/>
      <c r="D285" s="175"/>
      <c r="E285" s="175"/>
      <c r="F285" s="175"/>
      <c r="G285" s="176"/>
      <c r="H285" s="178"/>
      <c r="I285" s="179"/>
      <c r="J285" s="279" t="s">
        <v>400</v>
      </c>
      <c r="K285" s="286">
        <v>90000</v>
      </c>
      <c r="L285" s="286">
        <v>90000</v>
      </c>
      <c r="M285" s="286">
        <v>90000</v>
      </c>
      <c r="N285" s="177"/>
    </row>
    <row r="286" spans="2:14">
      <c r="B286" s="174"/>
      <c r="C286" s="175"/>
      <c r="D286" s="175"/>
      <c r="E286" s="175"/>
      <c r="F286" s="175"/>
      <c r="G286" s="176"/>
      <c r="H286" s="178"/>
      <c r="I286" s="179"/>
      <c r="J286" s="162" t="s">
        <v>191</v>
      </c>
      <c r="K286" s="286">
        <v>159000</v>
      </c>
      <c r="L286" s="286">
        <v>159000</v>
      </c>
      <c r="M286" s="286">
        <v>159000</v>
      </c>
      <c r="N286" s="177"/>
    </row>
    <row r="287" spans="2:14" hidden="1">
      <c r="B287" s="174"/>
      <c r="C287" s="175"/>
      <c r="D287" s="175"/>
      <c r="E287" s="175"/>
      <c r="F287" s="175"/>
      <c r="G287" s="176"/>
      <c r="H287" s="178"/>
      <c r="I287" s="179"/>
      <c r="J287" s="162" t="s">
        <v>347</v>
      </c>
      <c r="K287" s="180"/>
      <c r="L287" s="180"/>
      <c r="M287" s="180"/>
      <c r="N287" s="177"/>
    </row>
    <row r="288" spans="2:14" hidden="1">
      <c r="B288" s="174"/>
      <c r="C288" s="175"/>
      <c r="D288" s="175"/>
      <c r="E288" s="175"/>
      <c r="F288" s="175"/>
      <c r="G288" s="176"/>
      <c r="H288" s="178"/>
      <c r="I288" s="179"/>
      <c r="J288" s="162" t="s">
        <v>348</v>
      </c>
      <c r="K288" s="180"/>
      <c r="L288" s="180"/>
      <c r="M288" s="180"/>
      <c r="N288" s="177"/>
    </row>
    <row r="289" spans="2:18" hidden="1">
      <c r="B289" s="174"/>
      <c r="C289" s="175"/>
      <c r="D289" s="175"/>
      <c r="E289" s="175"/>
      <c r="F289" s="175"/>
      <c r="G289" s="176"/>
      <c r="H289" s="178"/>
      <c r="I289" s="179"/>
      <c r="J289" s="162" t="s">
        <v>194</v>
      </c>
      <c r="K289" s="180"/>
      <c r="L289" s="180"/>
      <c r="M289" s="180"/>
      <c r="N289" s="177"/>
    </row>
    <row r="290" spans="2:18" hidden="1">
      <c r="B290" s="174"/>
      <c r="C290" s="175"/>
      <c r="D290" s="175"/>
      <c r="E290" s="175"/>
      <c r="F290" s="175"/>
      <c r="G290" s="176"/>
      <c r="H290" s="178"/>
      <c r="I290" s="179"/>
      <c r="J290" s="162" t="s">
        <v>346</v>
      </c>
      <c r="K290" s="180"/>
      <c r="L290" s="180"/>
      <c r="M290" s="180"/>
      <c r="N290" s="177"/>
    </row>
    <row r="291" spans="2:18" hidden="1">
      <c r="B291" s="99"/>
      <c r="C291" s="100"/>
      <c r="D291" s="100"/>
      <c r="E291" s="100"/>
      <c r="F291" s="100"/>
      <c r="G291" s="101"/>
      <c r="H291" s="107"/>
      <c r="I291" s="108"/>
      <c r="J291" s="162" t="s">
        <v>349</v>
      </c>
      <c r="K291" s="180"/>
      <c r="L291" s="180"/>
      <c r="M291" s="180"/>
      <c r="N291" s="106"/>
    </row>
    <row r="292" spans="2:18" hidden="1">
      <c r="B292" s="99"/>
      <c r="C292" s="100"/>
      <c r="D292" s="100"/>
      <c r="E292" s="100"/>
      <c r="F292" s="100"/>
      <c r="G292" s="101"/>
      <c r="H292" s="107"/>
      <c r="I292" s="108"/>
      <c r="J292" s="162" t="s">
        <v>350</v>
      </c>
      <c r="K292" s="180"/>
      <c r="L292" s="180"/>
      <c r="M292" s="180"/>
      <c r="N292" s="106"/>
    </row>
    <row r="293" spans="2:18" hidden="1">
      <c r="B293" s="99"/>
      <c r="C293" s="100"/>
      <c r="D293" s="100"/>
      <c r="E293" s="100"/>
      <c r="F293" s="100"/>
      <c r="G293" s="101"/>
      <c r="H293" s="107"/>
      <c r="I293" s="108"/>
      <c r="J293" s="162" t="s">
        <v>351</v>
      </c>
      <c r="K293" s="180"/>
      <c r="L293" s="180"/>
      <c r="M293" s="180"/>
      <c r="N293" s="106"/>
    </row>
    <row r="294" spans="2:18" hidden="1">
      <c r="B294" s="264"/>
      <c r="C294" s="265"/>
      <c r="D294" s="265"/>
      <c r="E294" s="265"/>
      <c r="F294" s="265"/>
      <c r="G294" s="266"/>
      <c r="H294" s="267"/>
      <c r="I294" s="268"/>
      <c r="J294" s="162"/>
      <c r="K294" s="263"/>
      <c r="L294" s="263"/>
      <c r="M294" s="263"/>
      <c r="N294" s="262"/>
    </row>
    <row r="295" spans="2:18" hidden="1">
      <c r="B295" s="264"/>
      <c r="C295" s="265"/>
      <c r="D295" s="265"/>
      <c r="E295" s="265"/>
      <c r="F295" s="265"/>
      <c r="G295" s="266"/>
      <c r="H295" s="267"/>
      <c r="I295" s="268"/>
      <c r="J295" s="162"/>
      <c r="K295" s="263"/>
      <c r="L295" s="263"/>
      <c r="M295" s="263"/>
      <c r="N295" s="262"/>
    </row>
    <row r="296" spans="2:18" hidden="1">
      <c r="B296" s="264"/>
      <c r="C296" s="265"/>
      <c r="D296" s="265"/>
      <c r="E296" s="265"/>
      <c r="F296" s="265"/>
      <c r="G296" s="266"/>
      <c r="H296" s="267"/>
      <c r="I296" s="268"/>
      <c r="J296" s="162"/>
      <c r="K296" s="263"/>
      <c r="L296" s="263"/>
      <c r="M296" s="263"/>
      <c r="N296" s="262"/>
    </row>
    <row r="297" spans="2:18" hidden="1">
      <c r="B297" s="264"/>
      <c r="C297" s="265"/>
      <c r="D297" s="265"/>
      <c r="E297" s="265"/>
      <c r="F297" s="265"/>
      <c r="G297" s="266"/>
      <c r="H297" s="267"/>
      <c r="I297" s="268"/>
      <c r="J297" s="162"/>
      <c r="K297" s="263"/>
      <c r="L297" s="263"/>
      <c r="M297" s="263"/>
      <c r="N297" s="262"/>
    </row>
    <row r="298" spans="2:18" hidden="1">
      <c r="B298" s="99"/>
      <c r="C298" s="100"/>
      <c r="D298" s="100"/>
      <c r="E298" s="100"/>
      <c r="F298" s="100"/>
      <c r="G298" s="101"/>
      <c r="H298" s="107"/>
      <c r="I298" s="108"/>
      <c r="J298" s="49"/>
      <c r="K298" s="105"/>
      <c r="L298" s="105"/>
      <c r="M298" s="105"/>
      <c r="N298" s="106"/>
    </row>
    <row r="299" spans="2:18" hidden="1">
      <c r="B299" s="99"/>
      <c r="C299" s="100"/>
      <c r="D299" s="100"/>
      <c r="E299" s="100"/>
      <c r="F299" s="100"/>
      <c r="G299" s="101"/>
      <c r="H299" s="107"/>
      <c r="I299" s="108"/>
      <c r="J299" s="49"/>
      <c r="K299" s="105"/>
      <c r="L299" s="105"/>
      <c r="M299" s="105"/>
      <c r="N299" s="106"/>
    </row>
    <row r="300" spans="2:18" hidden="1">
      <c r="B300" s="99"/>
      <c r="C300" s="100"/>
      <c r="D300" s="100"/>
      <c r="E300" s="100"/>
      <c r="F300" s="100"/>
      <c r="G300" s="101"/>
      <c r="H300" s="107"/>
      <c r="I300" s="108"/>
      <c r="J300" s="49"/>
      <c r="K300" s="105"/>
      <c r="L300" s="105"/>
      <c r="M300" s="105"/>
      <c r="N300" s="106"/>
    </row>
    <row r="301" spans="2:18" hidden="1">
      <c r="B301" s="99"/>
      <c r="C301" s="100"/>
      <c r="D301" s="100"/>
      <c r="E301" s="100"/>
      <c r="F301" s="100"/>
      <c r="G301" s="101"/>
      <c r="H301" s="107"/>
      <c r="I301" s="108"/>
      <c r="J301" s="49"/>
      <c r="K301" s="105"/>
      <c r="L301" s="105"/>
      <c r="M301" s="105"/>
      <c r="N301" s="106"/>
    </row>
    <row r="302" spans="2:18" s="38" customFormat="1">
      <c r="B302" s="394" t="s">
        <v>330</v>
      </c>
      <c r="C302" s="395"/>
      <c r="D302" s="395"/>
      <c r="E302" s="395"/>
      <c r="F302" s="395"/>
      <c r="G302" s="396"/>
      <c r="H302" s="164" t="s">
        <v>333</v>
      </c>
      <c r="I302" s="165" t="s">
        <v>334</v>
      </c>
      <c r="J302" s="54"/>
      <c r="K302" s="45">
        <f>K304</f>
        <v>34138</v>
      </c>
      <c r="L302" s="45">
        <f t="shared" ref="L302:M302" si="50">L304</f>
        <v>0</v>
      </c>
      <c r="M302" s="45">
        <f t="shared" si="50"/>
        <v>0</v>
      </c>
      <c r="N302" s="55"/>
      <c r="O302" s="83"/>
      <c r="P302" s="83"/>
      <c r="Q302" s="83"/>
      <c r="R302" s="42"/>
    </row>
    <row r="303" spans="2:18" ht="24.75" customHeight="1">
      <c r="B303" s="397" t="s">
        <v>331</v>
      </c>
      <c r="C303" s="398"/>
      <c r="D303" s="398"/>
      <c r="E303" s="398"/>
      <c r="F303" s="398"/>
      <c r="G303" s="399"/>
      <c r="H303" s="5" t="s">
        <v>335</v>
      </c>
      <c r="I303" s="10" t="s">
        <v>337</v>
      </c>
      <c r="J303" s="49"/>
      <c r="K303" s="44"/>
      <c r="L303" s="44"/>
      <c r="M303" s="44"/>
      <c r="N303" s="50"/>
      <c r="O303" s="166"/>
      <c r="P303" s="166"/>
      <c r="Q303" s="166"/>
      <c r="R303" s="38"/>
    </row>
    <row r="304" spans="2:18" ht="32.25" customHeight="1">
      <c r="B304" s="397" t="s">
        <v>332</v>
      </c>
      <c r="C304" s="398"/>
      <c r="D304" s="398"/>
      <c r="E304" s="398"/>
      <c r="F304" s="398"/>
      <c r="G304" s="399"/>
      <c r="H304" s="5" t="s">
        <v>336</v>
      </c>
      <c r="I304" s="10" t="s">
        <v>338</v>
      </c>
      <c r="J304" s="167" t="s">
        <v>339</v>
      </c>
      <c r="K304" s="163">
        <f>K305</f>
        <v>34138</v>
      </c>
      <c r="L304" s="163">
        <f t="shared" ref="L304:M304" si="51">L305</f>
        <v>0</v>
      </c>
      <c r="M304" s="163">
        <f t="shared" si="51"/>
        <v>0</v>
      </c>
      <c r="N304" s="93"/>
    </row>
    <row r="305" spans="1:71">
      <c r="B305" s="94"/>
      <c r="C305" s="97"/>
      <c r="D305" s="97"/>
      <c r="E305" s="97"/>
      <c r="F305" s="97"/>
      <c r="G305" s="97"/>
      <c r="H305" s="91"/>
      <c r="I305" s="92"/>
      <c r="J305" s="162" t="s">
        <v>191</v>
      </c>
      <c r="K305" s="93">
        <f>70589-36451</f>
        <v>34138</v>
      </c>
      <c r="L305" s="93"/>
      <c r="M305" s="93"/>
      <c r="N305" s="88"/>
    </row>
    <row r="306" spans="1:71">
      <c r="B306" s="94"/>
      <c r="C306" s="97"/>
      <c r="D306" s="97"/>
      <c r="E306" s="97"/>
      <c r="F306" s="97"/>
      <c r="G306" s="97"/>
      <c r="H306" s="91"/>
      <c r="I306" s="92"/>
      <c r="J306" s="49"/>
      <c r="K306" s="93"/>
      <c r="L306" s="93"/>
      <c r="M306" s="93"/>
      <c r="N306" s="88"/>
    </row>
    <row r="307" spans="1:71" s="38" customFormat="1">
      <c r="A307" s="42"/>
      <c r="B307" s="400" t="s">
        <v>104</v>
      </c>
      <c r="C307" s="401"/>
      <c r="D307" s="401"/>
      <c r="E307" s="401"/>
      <c r="F307" s="401"/>
      <c r="G307" s="401"/>
      <c r="H307" s="69" t="s">
        <v>105</v>
      </c>
      <c r="I307" s="70" t="s">
        <v>21</v>
      </c>
      <c r="J307" s="54"/>
      <c r="K307" s="45"/>
      <c r="L307" s="45"/>
      <c r="M307" s="45"/>
      <c r="N307" s="55" t="s">
        <v>21</v>
      </c>
      <c r="O307" s="83"/>
      <c r="P307" s="83"/>
      <c r="Q307" s="83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</row>
    <row r="308" spans="1:71" ht="15.75" thickBot="1">
      <c r="B308" s="402" t="s">
        <v>106</v>
      </c>
      <c r="C308" s="403"/>
      <c r="D308" s="403"/>
      <c r="E308" s="403"/>
      <c r="F308" s="403"/>
      <c r="G308" s="403"/>
      <c r="H308" s="4" t="s">
        <v>107</v>
      </c>
      <c r="I308" s="9" t="s">
        <v>108</v>
      </c>
      <c r="J308" s="57"/>
      <c r="K308" s="58"/>
      <c r="L308" s="58"/>
      <c r="M308" s="58"/>
      <c r="N308" s="59" t="s">
        <v>21</v>
      </c>
    </row>
  </sheetData>
  <mergeCells count="181">
    <mergeCell ref="B177:G177"/>
    <mergeCell ref="B183:G183"/>
    <mergeCell ref="B184:G184"/>
    <mergeCell ref="B185:G185"/>
    <mergeCell ref="B187:G187"/>
    <mergeCell ref="B190:G190"/>
    <mergeCell ref="B192:G192"/>
    <mergeCell ref="B147:G147"/>
    <mergeCell ref="B148:G148"/>
    <mergeCell ref="B149:G149"/>
    <mergeCell ref="B150:G150"/>
    <mergeCell ref="B154:G154"/>
    <mergeCell ref="B172:G172"/>
    <mergeCell ref="B173:G173"/>
    <mergeCell ref="B175:G175"/>
    <mergeCell ref="B151:G151"/>
    <mergeCell ref="B152:G152"/>
    <mergeCell ref="B153:G153"/>
    <mergeCell ref="B165:G165"/>
    <mergeCell ref="B166:G166"/>
    <mergeCell ref="B167:G167"/>
    <mergeCell ref="B169:G169"/>
    <mergeCell ref="B170:G170"/>
    <mergeCell ref="B171:G171"/>
    <mergeCell ref="B35:G35"/>
    <mergeCell ref="N11:N12"/>
    <mergeCell ref="B33:G33"/>
    <mergeCell ref="B31:G31"/>
    <mergeCell ref="B32:G32"/>
    <mergeCell ref="B30:G30"/>
    <mergeCell ref="H30:H31"/>
    <mergeCell ref="I30:I31"/>
    <mergeCell ref="J30:J31"/>
    <mergeCell ref="K30:K31"/>
    <mergeCell ref="L30:L31"/>
    <mergeCell ref="M30:M31"/>
    <mergeCell ref="N30:N31"/>
    <mergeCell ref="B29:G29"/>
    <mergeCell ref="B28:G28"/>
    <mergeCell ref="B27:G27"/>
    <mergeCell ref="B38:G38"/>
    <mergeCell ref="B36:G36"/>
    <mergeCell ref="H36:H37"/>
    <mergeCell ref="I36:I37"/>
    <mergeCell ref="J36:J37"/>
    <mergeCell ref="K36:K37"/>
    <mergeCell ref="L36:L37"/>
    <mergeCell ref="M36:M37"/>
    <mergeCell ref="N39:N40"/>
    <mergeCell ref="B40:G40"/>
    <mergeCell ref="N36:N37"/>
    <mergeCell ref="B37:G37"/>
    <mergeCell ref="B41:G41"/>
    <mergeCell ref="B39:G39"/>
    <mergeCell ref="H39:H40"/>
    <mergeCell ref="I39:I40"/>
    <mergeCell ref="J39:J40"/>
    <mergeCell ref="K39:K40"/>
    <mergeCell ref="L39:L40"/>
    <mergeCell ref="M39:M40"/>
    <mergeCell ref="B45:G45"/>
    <mergeCell ref="M42:M43"/>
    <mergeCell ref="N42:N43"/>
    <mergeCell ref="B43:G43"/>
    <mergeCell ref="B44:G44"/>
    <mergeCell ref="B42:G42"/>
    <mergeCell ref="H42:H43"/>
    <mergeCell ref="I42:I43"/>
    <mergeCell ref="J42:J43"/>
    <mergeCell ref="K42:K43"/>
    <mergeCell ref="L42:L43"/>
    <mergeCell ref="B55:G55"/>
    <mergeCell ref="B54:G54"/>
    <mergeCell ref="B53:G53"/>
    <mergeCell ref="B52:G52"/>
    <mergeCell ref="B51:G51"/>
    <mergeCell ref="B50:G50"/>
    <mergeCell ref="B49:G49"/>
    <mergeCell ref="M46:M47"/>
    <mergeCell ref="N46:N47"/>
    <mergeCell ref="B47:G47"/>
    <mergeCell ref="B48:G48"/>
    <mergeCell ref="B46:G46"/>
    <mergeCell ref="H46:H47"/>
    <mergeCell ref="I46:I47"/>
    <mergeCell ref="J46:J47"/>
    <mergeCell ref="K46:K47"/>
    <mergeCell ref="L46:L47"/>
    <mergeCell ref="K2:N2"/>
    <mergeCell ref="K3:N3"/>
    <mergeCell ref="K4:N4"/>
    <mergeCell ref="B308:G308"/>
    <mergeCell ref="B307:G307"/>
    <mergeCell ref="B144:G144"/>
    <mergeCell ref="B143:G143"/>
    <mergeCell ref="B133:G133"/>
    <mergeCell ref="B131:G131"/>
    <mergeCell ref="B129:G129"/>
    <mergeCell ref="B128:G128"/>
    <mergeCell ref="B127:G127"/>
    <mergeCell ref="B126:G126"/>
    <mergeCell ref="B124:G124"/>
    <mergeCell ref="B122:G122"/>
    <mergeCell ref="B117:G117"/>
    <mergeCell ref="B116:G116"/>
    <mergeCell ref="B112:G112"/>
    <mergeCell ref="B93:G93"/>
    <mergeCell ref="B92:G92"/>
    <mergeCell ref="B89:G89"/>
    <mergeCell ref="B56:G56"/>
    <mergeCell ref="D15:J15"/>
    <mergeCell ref="B34:G34"/>
    <mergeCell ref="K5:N5"/>
    <mergeCell ref="K8:L8"/>
    <mergeCell ref="M8:N8"/>
    <mergeCell ref="K9:N9"/>
    <mergeCell ref="D13:J13"/>
    <mergeCell ref="D14:J14"/>
    <mergeCell ref="K6:N6"/>
    <mergeCell ref="K7:N7"/>
    <mergeCell ref="B26:G26"/>
    <mergeCell ref="B25:G25"/>
    <mergeCell ref="N23:N24"/>
    <mergeCell ref="B16:D16"/>
    <mergeCell ref="B17:E17"/>
    <mergeCell ref="F17:I17"/>
    <mergeCell ref="D18:L18"/>
    <mergeCell ref="B22:G24"/>
    <mergeCell ref="H22:H24"/>
    <mergeCell ref="I22:I24"/>
    <mergeCell ref="J22:J24"/>
    <mergeCell ref="K22:N22"/>
    <mergeCell ref="B78:G78"/>
    <mergeCell ref="B79:G79"/>
    <mergeCell ref="B94:G94"/>
    <mergeCell ref="B96:G96"/>
    <mergeCell ref="B98:G98"/>
    <mergeCell ref="B100:G100"/>
    <mergeCell ref="B58:G58"/>
    <mergeCell ref="B61:G61"/>
    <mergeCell ref="B64:G64"/>
    <mergeCell ref="B73:G73"/>
    <mergeCell ref="B77:G77"/>
    <mergeCell ref="B139:G139"/>
    <mergeCell ref="B145:G145"/>
    <mergeCell ref="B115:G115"/>
    <mergeCell ref="B118:G118"/>
    <mergeCell ref="B121:G121"/>
    <mergeCell ref="B119:G119"/>
    <mergeCell ref="B125:G125"/>
    <mergeCell ref="B123:G123"/>
    <mergeCell ref="B102:G102"/>
    <mergeCell ref="B103:G103"/>
    <mergeCell ref="B106:G106"/>
    <mergeCell ref="B107:G107"/>
    <mergeCell ref="B113:G113"/>
    <mergeCell ref="B114:G114"/>
    <mergeCell ref="B220:G220"/>
    <mergeCell ref="B221:G221"/>
    <mergeCell ref="B302:G302"/>
    <mergeCell ref="B303:G303"/>
    <mergeCell ref="B304:G304"/>
    <mergeCell ref="B132:G132"/>
    <mergeCell ref="B130:G130"/>
    <mergeCell ref="B191:G191"/>
    <mergeCell ref="B194:G194"/>
    <mergeCell ref="B195:G195"/>
    <mergeCell ref="B201:G201"/>
    <mergeCell ref="B202:G202"/>
    <mergeCell ref="B203:G203"/>
    <mergeCell ref="B140:G140"/>
    <mergeCell ref="B141:G141"/>
    <mergeCell ref="B142:G142"/>
    <mergeCell ref="B155:G155"/>
    <mergeCell ref="B176:G176"/>
    <mergeCell ref="B188:G188"/>
    <mergeCell ref="B134:G134"/>
    <mergeCell ref="B135:G135"/>
    <mergeCell ref="B136:G136"/>
    <mergeCell ref="B137:G137"/>
    <mergeCell ref="B138:G138"/>
  </mergeCells>
  <pageMargins left="0" right="0" top="0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H56"/>
  <sheetViews>
    <sheetView view="pageBreakPreview" zoomScale="110" zoomScaleSheetLayoutView="110" workbookViewId="0">
      <selection activeCell="A50" sqref="A50:FE50"/>
    </sheetView>
  </sheetViews>
  <sheetFormatPr defaultColWidth="0.85546875" defaultRowHeight="11.25"/>
  <cols>
    <col min="1" max="60" width="0.85546875" style="98"/>
    <col min="61" max="61" width="0.85546875" style="98" customWidth="1"/>
    <col min="62" max="64" width="0.85546875" style="98"/>
    <col min="65" max="65" width="0.85546875" style="98" customWidth="1"/>
    <col min="66" max="75" width="0.85546875" style="98"/>
    <col min="76" max="77" width="0.85546875" style="98" customWidth="1"/>
    <col min="78" max="163" width="0.85546875" style="98"/>
    <col min="164" max="164" width="11.140625" style="98" customWidth="1"/>
    <col min="165" max="316" width="0.85546875" style="98"/>
    <col min="317" max="317" width="0.85546875" style="98" customWidth="1"/>
    <col min="318" max="320" width="0.85546875" style="98"/>
    <col min="321" max="321" width="0.85546875" style="98" customWidth="1"/>
    <col min="322" max="331" width="0.85546875" style="98"/>
    <col min="332" max="333" width="0.85546875" style="98" customWidth="1"/>
    <col min="334" max="572" width="0.85546875" style="98"/>
    <col min="573" max="573" width="0.85546875" style="98" customWidth="1"/>
    <col min="574" max="576" width="0.85546875" style="98"/>
    <col min="577" max="577" width="0.85546875" style="98" customWidth="1"/>
    <col min="578" max="587" width="0.85546875" style="98"/>
    <col min="588" max="589" width="0.85546875" style="98" customWidth="1"/>
    <col min="590" max="828" width="0.85546875" style="98"/>
    <col min="829" max="829" width="0.85546875" style="98" customWidth="1"/>
    <col min="830" max="832" width="0.85546875" style="98"/>
    <col min="833" max="833" width="0.85546875" style="98" customWidth="1"/>
    <col min="834" max="843" width="0.85546875" style="98"/>
    <col min="844" max="845" width="0.85546875" style="98" customWidth="1"/>
    <col min="846" max="1084" width="0.85546875" style="98"/>
    <col min="1085" max="1085" width="0.85546875" style="98" customWidth="1"/>
    <col min="1086" max="1088" width="0.85546875" style="98"/>
    <col min="1089" max="1089" width="0.85546875" style="98" customWidth="1"/>
    <col min="1090" max="1099" width="0.85546875" style="98"/>
    <col min="1100" max="1101" width="0.85546875" style="98" customWidth="1"/>
    <col min="1102" max="1340" width="0.85546875" style="98"/>
    <col min="1341" max="1341" width="0.85546875" style="98" customWidth="1"/>
    <col min="1342" max="1344" width="0.85546875" style="98"/>
    <col min="1345" max="1345" width="0.85546875" style="98" customWidth="1"/>
    <col min="1346" max="1355" width="0.85546875" style="98"/>
    <col min="1356" max="1357" width="0.85546875" style="98" customWidth="1"/>
    <col min="1358" max="1596" width="0.85546875" style="98"/>
    <col min="1597" max="1597" width="0.85546875" style="98" customWidth="1"/>
    <col min="1598" max="1600" width="0.85546875" style="98"/>
    <col min="1601" max="1601" width="0.85546875" style="98" customWidth="1"/>
    <col min="1602" max="1611" width="0.85546875" style="98"/>
    <col min="1612" max="1613" width="0.85546875" style="98" customWidth="1"/>
    <col min="1614" max="1852" width="0.85546875" style="98"/>
    <col min="1853" max="1853" width="0.85546875" style="98" customWidth="1"/>
    <col min="1854" max="1856" width="0.85546875" style="98"/>
    <col min="1857" max="1857" width="0.85546875" style="98" customWidth="1"/>
    <col min="1858" max="1867" width="0.85546875" style="98"/>
    <col min="1868" max="1869" width="0.85546875" style="98" customWidth="1"/>
    <col min="1870" max="2108" width="0.85546875" style="98"/>
    <col min="2109" max="2109" width="0.85546875" style="98" customWidth="1"/>
    <col min="2110" max="2112" width="0.85546875" style="98"/>
    <col min="2113" max="2113" width="0.85546875" style="98" customWidth="1"/>
    <col min="2114" max="2123" width="0.85546875" style="98"/>
    <col min="2124" max="2125" width="0.85546875" style="98" customWidth="1"/>
    <col min="2126" max="2364" width="0.85546875" style="98"/>
    <col min="2365" max="2365" width="0.85546875" style="98" customWidth="1"/>
    <col min="2366" max="2368" width="0.85546875" style="98"/>
    <col min="2369" max="2369" width="0.85546875" style="98" customWidth="1"/>
    <col min="2370" max="2379" width="0.85546875" style="98"/>
    <col min="2380" max="2381" width="0.85546875" style="98" customWidth="1"/>
    <col min="2382" max="2620" width="0.85546875" style="98"/>
    <col min="2621" max="2621" width="0.85546875" style="98" customWidth="1"/>
    <col min="2622" max="2624" width="0.85546875" style="98"/>
    <col min="2625" max="2625" width="0.85546875" style="98" customWidth="1"/>
    <col min="2626" max="2635" width="0.85546875" style="98"/>
    <col min="2636" max="2637" width="0.85546875" style="98" customWidth="1"/>
    <col min="2638" max="2876" width="0.85546875" style="98"/>
    <col min="2877" max="2877" width="0.85546875" style="98" customWidth="1"/>
    <col min="2878" max="2880" width="0.85546875" style="98"/>
    <col min="2881" max="2881" width="0.85546875" style="98" customWidth="1"/>
    <col min="2882" max="2891" width="0.85546875" style="98"/>
    <col min="2892" max="2893" width="0.85546875" style="98" customWidth="1"/>
    <col min="2894" max="3132" width="0.85546875" style="98"/>
    <col min="3133" max="3133" width="0.85546875" style="98" customWidth="1"/>
    <col min="3134" max="3136" width="0.85546875" style="98"/>
    <col min="3137" max="3137" width="0.85546875" style="98" customWidth="1"/>
    <col min="3138" max="3147" width="0.85546875" style="98"/>
    <col min="3148" max="3149" width="0.85546875" style="98" customWidth="1"/>
    <col min="3150" max="3388" width="0.85546875" style="98"/>
    <col min="3389" max="3389" width="0.85546875" style="98" customWidth="1"/>
    <col min="3390" max="3392" width="0.85546875" style="98"/>
    <col min="3393" max="3393" width="0.85546875" style="98" customWidth="1"/>
    <col min="3394" max="3403" width="0.85546875" style="98"/>
    <col min="3404" max="3405" width="0.85546875" style="98" customWidth="1"/>
    <col min="3406" max="3644" width="0.85546875" style="98"/>
    <col min="3645" max="3645" width="0.85546875" style="98" customWidth="1"/>
    <col min="3646" max="3648" width="0.85546875" style="98"/>
    <col min="3649" max="3649" width="0.85546875" style="98" customWidth="1"/>
    <col min="3650" max="3659" width="0.85546875" style="98"/>
    <col min="3660" max="3661" width="0.85546875" style="98" customWidth="1"/>
    <col min="3662" max="3900" width="0.85546875" style="98"/>
    <col min="3901" max="3901" width="0.85546875" style="98" customWidth="1"/>
    <col min="3902" max="3904" width="0.85546875" style="98"/>
    <col min="3905" max="3905" width="0.85546875" style="98" customWidth="1"/>
    <col min="3906" max="3915" width="0.85546875" style="98"/>
    <col min="3916" max="3917" width="0.85546875" style="98" customWidth="1"/>
    <col min="3918" max="4156" width="0.85546875" style="98"/>
    <col min="4157" max="4157" width="0.85546875" style="98" customWidth="1"/>
    <col min="4158" max="4160" width="0.85546875" style="98"/>
    <col min="4161" max="4161" width="0.85546875" style="98" customWidth="1"/>
    <col min="4162" max="4171" width="0.85546875" style="98"/>
    <col min="4172" max="4173" width="0.85546875" style="98" customWidth="1"/>
    <col min="4174" max="4412" width="0.85546875" style="98"/>
    <col min="4413" max="4413" width="0.85546875" style="98" customWidth="1"/>
    <col min="4414" max="4416" width="0.85546875" style="98"/>
    <col min="4417" max="4417" width="0.85546875" style="98" customWidth="1"/>
    <col min="4418" max="4427" width="0.85546875" style="98"/>
    <col min="4428" max="4429" width="0.85546875" style="98" customWidth="1"/>
    <col min="4430" max="4668" width="0.85546875" style="98"/>
    <col min="4669" max="4669" width="0.85546875" style="98" customWidth="1"/>
    <col min="4670" max="4672" width="0.85546875" style="98"/>
    <col min="4673" max="4673" width="0.85546875" style="98" customWidth="1"/>
    <col min="4674" max="4683" width="0.85546875" style="98"/>
    <col min="4684" max="4685" width="0.85546875" style="98" customWidth="1"/>
    <col min="4686" max="4924" width="0.85546875" style="98"/>
    <col min="4925" max="4925" width="0.85546875" style="98" customWidth="1"/>
    <col min="4926" max="4928" width="0.85546875" style="98"/>
    <col min="4929" max="4929" width="0.85546875" style="98" customWidth="1"/>
    <col min="4930" max="4939" width="0.85546875" style="98"/>
    <col min="4940" max="4941" width="0.85546875" style="98" customWidth="1"/>
    <col min="4942" max="5180" width="0.85546875" style="98"/>
    <col min="5181" max="5181" width="0.85546875" style="98" customWidth="1"/>
    <col min="5182" max="5184" width="0.85546875" style="98"/>
    <col min="5185" max="5185" width="0.85546875" style="98" customWidth="1"/>
    <col min="5186" max="5195" width="0.85546875" style="98"/>
    <col min="5196" max="5197" width="0.85546875" style="98" customWidth="1"/>
    <col min="5198" max="5436" width="0.85546875" style="98"/>
    <col min="5437" max="5437" width="0.85546875" style="98" customWidth="1"/>
    <col min="5438" max="5440" width="0.85546875" style="98"/>
    <col min="5441" max="5441" width="0.85546875" style="98" customWidth="1"/>
    <col min="5442" max="5451" width="0.85546875" style="98"/>
    <col min="5452" max="5453" width="0.85546875" style="98" customWidth="1"/>
    <col min="5454" max="5692" width="0.85546875" style="98"/>
    <col min="5693" max="5693" width="0.85546875" style="98" customWidth="1"/>
    <col min="5694" max="5696" width="0.85546875" style="98"/>
    <col min="5697" max="5697" width="0.85546875" style="98" customWidth="1"/>
    <col min="5698" max="5707" width="0.85546875" style="98"/>
    <col min="5708" max="5709" width="0.85546875" style="98" customWidth="1"/>
    <col min="5710" max="5948" width="0.85546875" style="98"/>
    <col min="5949" max="5949" width="0.85546875" style="98" customWidth="1"/>
    <col min="5950" max="5952" width="0.85546875" style="98"/>
    <col min="5953" max="5953" width="0.85546875" style="98" customWidth="1"/>
    <col min="5954" max="5963" width="0.85546875" style="98"/>
    <col min="5964" max="5965" width="0.85546875" style="98" customWidth="1"/>
    <col min="5966" max="6204" width="0.85546875" style="98"/>
    <col min="6205" max="6205" width="0.85546875" style="98" customWidth="1"/>
    <col min="6206" max="6208" width="0.85546875" style="98"/>
    <col min="6209" max="6209" width="0.85546875" style="98" customWidth="1"/>
    <col min="6210" max="6219" width="0.85546875" style="98"/>
    <col min="6220" max="6221" width="0.85546875" style="98" customWidth="1"/>
    <col min="6222" max="6460" width="0.85546875" style="98"/>
    <col min="6461" max="6461" width="0.85546875" style="98" customWidth="1"/>
    <col min="6462" max="6464" width="0.85546875" style="98"/>
    <col min="6465" max="6465" width="0.85546875" style="98" customWidth="1"/>
    <col min="6466" max="6475" width="0.85546875" style="98"/>
    <col min="6476" max="6477" width="0.85546875" style="98" customWidth="1"/>
    <col min="6478" max="6716" width="0.85546875" style="98"/>
    <col min="6717" max="6717" width="0.85546875" style="98" customWidth="1"/>
    <col min="6718" max="6720" width="0.85546875" style="98"/>
    <col min="6721" max="6721" width="0.85546875" style="98" customWidth="1"/>
    <col min="6722" max="6731" width="0.85546875" style="98"/>
    <col min="6732" max="6733" width="0.85546875" style="98" customWidth="1"/>
    <col min="6734" max="6972" width="0.85546875" style="98"/>
    <col min="6973" max="6973" width="0.85546875" style="98" customWidth="1"/>
    <col min="6974" max="6976" width="0.85546875" style="98"/>
    <col min="6977" max="6977" width="0.85546875" style="98" customWidth="1"/>
    <col min="6978" max="6987" width="0.85546875" style="98"/>
    <col min="6988" max="6989" width="0.85546875" style="98" customWidth="1"/>
    <col min="6990" max="7228" width="0.85546875" style="98"/>
    <col min="7229" max="7229" width="0.85546875" style="98" customWidth="1"/>
    <col min="7230" max="7232" width="0.85546875" style="98"/>
    <col min="7233" max="7233" width="0.85546875" style="98" customWidth="1"/>
    <col min="7234" max="7243" width="0.85546875" style="98"/>
    <col min="7244" max="7245" width="0.85546875" style="98" customWidth="1"/>
    <col min="7246" max="7484" width="0.85546875" style="98"/>
    <col min="7485" max="7485" width="0.85546875" style="98" customWidth="1"/>
    <col min="7486" max="7488" width="0.85546875" style="98"/>
    <col min="7489" max="7489" width="0.85546875" style="98" customWidth="1"/>
    <col min="7490" max="7499" width="0.85546875" style="98"/>
    <col min="7500" max="7501" width="0.85546875" style="98" customWidth="1"/>
    <col min="7502" max="7740" width="0.85546875" style="98"/>
    <col min="7741" max="7741" width="0.85546875" style="98" customWidth="1"/>
    <col min="7742" max="7744" width="0.85546875" style="98"/>
    <col min="7745" max="7745" width="0.85546875" style="98" customWidth="1"/>
    <col min="7746" max="7755" width="0.85546875" style="98"/>
    <col min="7756" max="7757" width="0.85546875" style="98" customWidth="1"/>
    <col min="7758" max="7996" width="0.85546875" style="98"/>
    <col min="7997" max="7997" width="0.85546875" style="98" customWidth="1"/>
    <col min="7998" max="8000" width="0.85546875" style="98"/>
    <col min="8001" max="8001" width="0.85546875" style="98" customWidth="1"/>
    <col min="8002" max="8011" width="0.85546875" style="98"/>
    <col min="8012" max="8013" width="0.85546875" style="98" customWidth="1"/>
    <col min="8014" max="8252" width="0.85546875" style="98"/>
    <col min="8253" max="8253" width="0.85546875" style="98" customWidth="1"/>
    <col min="8254" max="8256" width="0.85546875" style="98"/>
    <col min="8257" max="8257" width="0.85546875" style="98" customWidth="1"/>
    <col min="8258" max="8267" width="0.85546875" style="98"/>
    <col min="8268" max="8269" width="0.85546875" style="98" customWidth="1"/>
    <col min="8270" max="8508" width="0.85546875" style="98"/>
    <col min="8509" max="8509" width="0.85546875" style="98" customWidth="1"/>
    <col min="8510" max="8512" width="0.85546875" style="98"/>
    <col min="8513" max="8513" width="0.85546875" style="98" customWidth="1"/>
    <col min="8514" max="8523" width="0.85546875" style="98"/>
    <col min="8524" max="8525" width="0.85546875" style="98" customWidth="1"/>
    <col min="8526" max="8764" width="0.85546875" style="98"/>
    <col min="8765" max="8765" width="0.85546875" style="98" customWidth="1"/>
    <col min="8766" max="8768" width="0.85546875" style="98"/>
    <col min="8769" max="8769" width="0.85546875" style="98" customWidth="1"/>
    <col min="8770" max="8779" width="0.85546875" style="98"/>
    <col min="8780" max="8781" width="0.85546875" style="98" customWidth="1"/>
    <col min="8782" max="9020" width="0.85546875" style="98"/>
    <col min="9021" max="9021" width="0.85546875" style="98" customWidth="1"/>
    <col min="9022" max="9024" width="0.85546875" style="98"/>
    <col min="9025" max="9025" width="0.85546875" style="98" customWidth="1"/>
    <col min="9026" max="9035" width="0.85546875" style="98"/>
    <col min="9036" max="9037" width="0.85546875" style="98" customWidth="1"/>
    <col min="9038" max="9276" width="0.85546875" style="98"/>
    <col min="9277" max="9277" width="0.85546875" style="98" customWidth="1"/>
    <col min="9278" max="9280" width="0.85546875" style="98"/>
    <col min="9281" max="9281" width="0.85546875" style="98" customWidth="1"/>
    <col min="9282" max="9291" width="0.85546875" style="98"/>
    <col min="9292" max="9293" width="0.85546875" style="98" customWidth="1"/>
    <col min="9294" max="9532" width="0.85546875" style="98"/>
    <col min="9533" max="9533" width="0.85546875" style="98" customWidth="1"/>
    <col min="9534" max="9536" width="0.85546875" style="98"/>
    <col min="9537" max="9537" width="0.85546875" style="98" customWidth="1"/>
    <col min="9538" max="9547" width="0.85546875" style="98"/>
    <col min="9548" max="9549" width="0.85546875" style="98" customWidth="1"/>
    <col min="9550" max="9788" width="0.85546875" style="98"/>
    <col min="9789" max="9789" width="0.85546875" style="98" customWidth="1"/>
    <col min="9790" max="9792" width="0.85546875" style="98"/>
    <col min="9793" max="9793" width="0.85546875" style="98" customWidth="1"/>
    <col min="9794" max="9803" width="0.85546875" style="98"/>
    <col min="9804" max="9805" width="0.85546875" style="98" customWidth="1"/>
    <col min="9806" max="10044" width="0.85546875" style="98"/>
    <col min="10045" max="10045" width="0.85546875" style="98" customWidth="1"/>
    <col min="10046" max="10048" width="0.85546875" style="98"/>
    <col min="10049" max="10049" width="0.85546875" style="98" customWidth="1"/>
    <col min="10050" max="10059" width="0.85546875" style="98"/>
    <col min="10060" max="10061" width="0.85546875" style="98" customWidth="1"/>
    <col min="10062" max="10300" width="0.85546875" style="98"/>
    <col min="10301" max="10301" width="0.85546875" style="98" customWidth="1"/>
    <col min="10302" max="10304" width="0.85546875" style="98"/>
    <col min="10305" max="10305" width="0.85546875" style="98" customWidth="1"/>
    <col min="10306" max="10315" width="0.85546875" style="98"/>
    <col min="10316" max="10317" width="0.85546875" style="98" customWidth="1"/>
    <col min="10318" max="10556" width="0.85546875" style="98"/>
    <col min="10557" max="10557" width="0.85546875" style="98" customWidth="1"/>
    <col min="10558" max="10560" width="0.85546875" style="98"/>
    <col min="10561" max="10561" width="0.85546875" style="98" customWidth="1"/>
    <col min="10562" max="10571" width="0.85546875" style="98"/>
    <col min="10572" max="10573" width="0.85546875" style="98" customWidth="1"/>
    <col min="10574" max="10812" width="0.85546875" style="98"/>
    <col min="10813" max="10813" width="0.85546875" style="98" customWidth="1"/>
    <col min="10814" max="10816" width="0.85546875" style="98"/>
    <col min="10817" max="10817" width="0.85546875" style="98" customWidth="1"/>
    <col min="10818" max="10827" width="0.85546875" style="98"/>
    <col min="10828" max="10829" width="0.85546875" style="98" customWidth="1"/>
    <col min="10830" max="11068" width="0.85546875" style="98"/>
    <col min="11069" max="11069" width="0.85546875" style="98" customWidth="1"/>
    <col min="11070" max="11072" width="0.85546875" style="98"/>
    <col min="11073" max="11073" width="0.85546875" style="98" customWidth="1"/>
    <col min="11074" max="11083" width="0.85546875" style="98"/>
    <col min="11084" max="11085" width="0.85546875" style="98" customWidth="1"/>
    <col min="11086" max="11324" width="0.85546875" style="98"/>
    <col min="11325" max="11325" width="0.85546875" style="98" customWidth="1"/>
    <col min="11326" max="11328" width="0.85546875" style="98"/>
    <col min="11329" max="11329" width="0.85546875" style="98" customWidth="1"/>
    <col min="11330" max="11339" width="0.85546875" style="98"/>
    <col min="11340" max="11341" width="0.85546875" style="98" customWidth="1"/>
    <col min="11342" max="11580" width="0.85546875" style="98"/>
    <col min="11581" max="11581" width="0.85546875" style="98" customWidth="1"/>
    <col min="11582" max="11584" width="0.85546875" style="98"/>
    <col min="11585" max="11585" width="0.85546875" style="98" customWidth="1"/>
    <col min="11586" max="11595" width="0.85546875" style="98"/>
    <col min="11596" max="11597" width="0.85546875" style="98" customWidth="1"/>
    <col min="11598" max="11836" width="0.85546875" style="98"/>
    <col min="11837" max="11837" width="0.85546875" style="98" customWidth="1"/>
    <col min="11838" max="11840" width="0.85546875" style="98"/>
    <col min="11841" max="11841" width="0.85546875" style="98" customWidth="1"/>
    <col min="11842" max="11851" width="0.85546875" style="98"/>
    <col min="11852" max="11853" width="0.85546875" style="98" customWidth="1"/>
    <col min="11854" max="12092" width="0.85546875" style="98"/>
    <col min="12093" max="12093" width="0.85546875" style="98" customWidth="1"/>
    <col min="12094" max="12096" width="0.85546875" style="98"/>
    <col min="12097" max="12097" width="0.85546875" style="98" customWidth="1"/>
    <col min="12098" max="12107" width="0.85546875" style="98"/>
    <col min="12108" max="12109" width="0.85546875" style="98" customWidth="1"/>
    <col min="12110" max="12348" width="0.85546875" style="98"/>
    <col min="12349" max="12349" width="0.85546875" style="98" customWidth="1"/>
    <col min="12350" max="12352" width="0.85546875" style="98"/>
    <col min="12353" max="12353" width="0.85546875" style="98" customWidth="1"/>
    <col min="12354" max="12363" width="0.85546875" style="98"/>
    <col min="12364" max="12365" width="0.85546875" style="98" customWidth="1"/>
    <col min="12366" max="12604" width="0.85546875" style="98"/>
    <col min="12605" max="12605" width="0.85546875" style="98" customWidth="1"/>
    <col min="12606" max="12608" width="0.85546875" style="98"/>
    <col min="12609" max="12609" width="0.85546875" style="98" customWidth="1"/>
    <col min="12610" max="12619" width="0.85546875" style="98"/>
    <col min="12620" max="12621" width="0.85546875" style="98" customWidth="1"/>
    <col min="12622" max="12860" width="0.85546875" style="98"/>
    <col min="12861" max="12861" width="0.85546875" style="98" customWidth="1"/>
    <col min="12862" max="12864" width="0.85546875" style="98"/>
    <col min="12865" max="12865" width="0.85546875" style="98" customWidth="1"/>
    <col min="12866" max="12875" width="0.85546875" style="98"/>
    <col min="12876" max="12877" width="0.85546875" style="98" customWidth="1"/>
    <col min="12878" max="13116" width="0.85546875" style="98"/>
    <col min="13117" max="13117" width="0.85546875" style="98" customWidth="1"/>
    <col min="13118" max="13120" width="0.85546875" style="98"/>
    <col min="13121" max="13121" width="0.85546875" style="98" customWidth="1"/>
    <col min="13122" max="13131" width="0.85546875" style="98"/>
    <col min="13132" max="13133" width="0.85546875" style="98" customWidth="1"/>
    <col min="13134" max="13372" width="0.85546875" style="98"/>
    <col min="13373" max="13373" width="0.85546875" style="98" customWidth="1"/>
    <col min="13374" max="13376" width="0.85546875" style="98"/>
    <col min="13377" max="13377" width="0.85546875" style="98" customWidth="1"/>
    <col min="13378" max="13387" width="0.85546875" style="98"/>
    <col min="13388" max="13389" width="0.85546875" style="98" customWidth="1"/>
    <col min="13390" max="13628" width="0.85546875" style="98"/>
    <col min="13629" max="13629" width="0.85546875" style="98" customWidth="1"/>
    <col min="13630" max="13632" width="0.85546875" style="98"/>
    <col min="13633" max="13633" width="0.85546875" style="98" customWidth="1"/>
    <col min="13634" max="13643" width="0.85546875" style="98"/>
    <col min="13644" max="13645" width="0.85546875" style="98" customWidth="1"/>
    <col min="13646" max="13884" width="0.85546875" style="98"/>
    <col min="13885" max="13885" width="0.85546875" style="98" customWidth="1"/>
    <col min="13886" max="13888" width="0.85546875" style="98"/>
    <col min="13889" max="13889" width="0.85546875" style="98" customWidth="1"/>
    <col min="13890" max="13899" width="0.85546875" style="98"/>
    <col min="13900" max="13901" width="0.85546875" style="98" customWidth="1"/>
    <col min="13902" max="14140" width="0.85546875" style="98"/>
    <col min="14141" max="14141" width="0.85546875" style="98" customWidth="1"/>
    <col min="14142" max="14144" width="0.85546875" style="98"/>
    <col min="14145" max="14145" width="0.85546875" style="98" customWidth="1"/>
    <col min="14146" max="14155" width="0.85546875" style="98"/>
    <col min="14156" max="14157" width="0.85546875" style="98" customWidth="1"/>
    <col min="14158" max="14396" width="0.85546875" style="98"/>
    <col min="14397" max="14397" width="0.85546875" style="98" customWidth="1"/>
    <col min="14398" max="14400" width="0.85546875" style="98"/>
    <col min="14401" max="14401" width="0.85546875" style="98" customWidth="1"/>
    <col min="14402" max="14411" width="0.85546875" style="98"/>
    <col min="14412" max="14413" width="0.85546875" style="98" customWidth="1"/>
    <col min="14414" max="14652" width="0.85546875" style="98"/>
    <col min="14653" max="14653" width="0.85546875" style="98" customWidth="1"/>
    <col min="14654" max="14656" width="0.85546875" style="98"/>
    <col min="14657" max="14657" width="0.85546875" style="98" customWidth="1"/>
    <col min="14658" max="14667" width="0.85546875" style="98"/>
    <col min="14668" max="14669" width="0.85546875" style="98" customWidth="1"/>
    <col min="14670" max="14908" width="0.85546875" style="98"/>
    <col min="14909" max="14909" width="0.85546875" style="98" customWidth="1"/>
    <col min="14910" max="14912" width="0.85546875" style="98"/>
    <col min="14913" max="14913" width="0.85546875" style="98" customWidth="1"/>
    <col min="14914" max="14923" width="0.85546875" style="98"/>
    <col min="14924" max="14925" width="0.85546875" style="98" customWidth="1"/>
    <col min="14926" max="15164" width="0.85546875" style="98"/>
    <col min="15165" max="15165" width="0.85546875" style="98" customWidth="1"/>
    <col min="15166" max="15168" width="0.85546875" style="98"/>
    <col min="15169" max="15169" width="0.85546875" style="98" customWidth="1"/>
    <col min="15170" max="15179" width="0.85546875" style="98"/>
    <col min="15180" max="15181" width="0.85546875" style="98" customWidth="1"/>
    <col min="15182" max="15420" width="0.85546875" style="98"/>
    <col min="15421" max="15421" width="0.85546875" style="98" customWidth="1"/>
    <col min="15422" max="15424" width="0.85546875" style="98"/>
    <col min="15425" max="15425" width="0.85546875" style="98" customWidth="1"/>
    <col min="15426" max="15435" width="0.85546875" style="98"/>
    <col min="15436" max="15437" width="0.85546875" style="98" customWidth="1"/>
    <col min="15438" max="15676" width="0.85546875" style="98"/>
    <col min="15677" max="15677" width="0.85546875" style="98" customWidth="1"/>
    <col min="15678" max="15680" width="0.85546875" style="98"/>
    <col min="15681" max="15681" width="0.85546875" style="98" customWidth="1"/>
    <col min="15682" max="15691" width="0.85546875" style="98"/>
    <col min="15692" max="15693" width="0.85546875" style="98" customWidth="1"/>
    <col min="15694" max="15932" width="0.85546875" style="98"/>
    <col min="15933" max="15933" width="0.85546875" style="98" customWidth="1"/>
    <col min="15934" max="15936" width="0.85546875" style="98"/>
    <col min="15937" max="15937" width="0.85546875" style="98" customWidth="1"/>
    <col min="15938" max="15947" width="0.85546875" style="98"/>
    <col min="15948" max="15949" width="0.85546875" style="98" customWidth="1"/>
    <col min="15950" max="16188" width="0.85546875" style="98"/>
    <col min="16189" max="16189" width="0.85546875" style="98" customWidth="1"/>
    <col min="16190" max="16192" width="0.85546875" style="98"/>
    <col min="16193" max="16193" width="0.85546875" style="98" customWidth="1"/>
    <col min="16194" max="16203" width="0.85546875" style="98"/>
    <col min="16204" max="16205" width="0.85546875" style="98" customWidth="1"/>
    <col min="16206" max="16384" width="0.85546875" style="98"/>
  </cols>
  <sheetData>
    <row r="1" spans="1:164" s="19" customFormat="1" ht="15" customHeight="1">
      <c r="B1" s="517" t="s">
        <v>124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  <c r="AG1" s="517"/>
      <c r="AH1" s="517"/>
      <c r="AI1" s="517"/>
      <c r="AJ1" s="517"/>
      <c r="AK1" s="517"/>
      <c r="AL1" s="517"/>
      <c r="AM1" s="517"/>
      <c r="AN1" s="517"/>
      <c r="AO1" s="517"/>
      <c r="AP1" s="517"/>
      <c r="AQ1" s="517"/>
      <c r="AR1" s="517"/>
      <c r="AS1" s="517"/>
      <c r="AT1" s="517"/>
      <c r="AU1" s="517"/>
      <c r="AV1" s="517"/>
      <c r="AW1" s="517"/>
      <c r="AX1" s="517"/>
      <c r="AY1" s="517"/>
      <c r="AZ1" s="517"/>
      <c r="BA1" s="517"/>
      <c r="BB1" s="517"/>
      <c r="BC1" s="517"/>
      <c r="BD1" s="517"/>
      <c r="BE1" s="517"/>
      <c r="BF1" s="517"/>
      <c r="BG1" s="517"/>
      <c r="BH1" s="517"/>
      <c r="BI1" s="517"/>
      <c r="BJ1" s="517"/>
      <c r="BK1" s="517"/>
      <c r="BL1" s="517"/>
      <c r="BM1" s="517"/>
      <c r="BN1" s="517"/>
      <c r="BO1" s="517"/>
      <c r="BP1" s="517"/>
      <c r="BQ1" s="517"/>
      <c r="BR1" s="517"/>
      <c r="BS1" s="517"/>
      <c r="BT1" s="517"/>
      <c r="BU1" s="517"/>
      <c r="BV1" s="517"/>
      <c r="BW1" s="517"/>
      <c r="BX1" s="517"/>
      <c r="BY1" s="517"/>
      <c r="BZ1" s="517"/>
      <c r="CA1" s="517"/>
      <c r="CB1" s="517"/>
      <c r="CC1" s="517"/>
      <c r="CD1" s="517"/>
      <c r="CE1" s="517"/>
      <c r="CF1" s="517"/>
      <c r="CG1" s="517"/>
      <c r="CH1" s="517"/>
      <c r="CI1" s="517"/>
      <c r="CJ1" s="517"/>
      <c r="CK1" s="517"/>
      <c r="CL1" s="517"/>
      <c r="CM1" s="517"/>
      <c r="CN1" s="517"/>
      <c r="CO1" s="517"/>
      <c r="CP1" s="517"/>
      <c r="CQ1" s="517"/>
      <c r="CR1" s="517"/>
      <c r="CS1" s="517"/>
      <c r="CT1" s="517"/>
      <c r="CU1" s="517"/>
      <c r="CV1" s="517"/>
      <c r="CW1" s="517"/>
      <c r="CX1" s="517"/>
      <c r="CY1" s="517"/>
      <c r="CZ1" s="517"/>
      <c r="DA1" s="517"/>
      <c r="DB1" s="517"/>
      <c r="DC1" s="517"/>
      <c r="DD1" s="517"/>
      <c r="DE1" s="517"/>
      <c r="DF1" s="517"/>
      <c r="DG1" s="517"/>
      <c r="DH1" s="517"/>
      <c r="DI1" s="517"/>
      <c r="DJ1" s="517"/>
      <c r="DK1" s="517"/>
      <c r="DL1" s="517"/>
      <c r="DM1" s="517"/>
      <c r="DN1" s="517"/>
      <c r="DO1" s="517"/>
      <c r="DP1" s="517"/>
      <c r="DQ1" s="517"/>
      <c r="DR1" s="517"/>
      <c r="DS1" s="517"/>
      <c r="DT1" s="517"/>
      <c r="DU1" s="517"/>
      <c r="DV1" s="517"/>
      <c r="DW1" s="517"/>
      <c r="DX1" s="517"/>
      <c r="DY1" s="517"/>
      <c r="DZ1" s="517"/>
      <c r="EA1" s="517"/>
      <c r="EB1" s="517"/>
      <c r="EC1" s="517"/>
      <c r="ED1" s="517"/>
      <c r="EE1" s="517"/>
      <c r="EF1" s="517"/>
      <c r="EG1" s="517"/>
      <c r="EH1" s="517"/>
      <c r="EI1" s="517"/>
      <c r="EJ1" s="517"/>
      <c r="EK1" s="517"/>
      <c r="EL1" s="517"/>
      <c r="EM1" s="517"/>
      <c r="EN1" s="517"/>
      <c r="EO1" s="517"/>
      <c r="EP1" s="517"/>
      <c r="EQ1" s="517"/>
      <c r="ER1" s="517"/>
      <c r="ES1" s="517"/>
      <c r="ET1" s="517"/>
      <c r="EU1" s="517"/>
      <c r="EV1" s="517"/>
      <c r="EW1" s="517"/>
      <c r="EX1" s="517"/>
      <c r="EY1" s="517"/>
      <c r="EZ1" s="517"/>
      <c r="FA1" s="517"/>
      <c r="FB1" s="517"/>
      <c r="FC1" s="517"/>
      <c r="FD1" s="517"/>
    </row>
    <row r="3" spans="1:164" ht="11.25" customHeight="1">
      <c r="A3" s="518" t="s">
        <v>125</v>
      </c>
      <c r="B3" s="518"/>
      <c r="C3" s="518"/>
      <c r="D3" s="518"/>
      <c r="E3" s="518"/>
      <c r="F3" s="518"/>
      <c r="G3" s="518"/>
      <c r="H3" s="519"/>
      <c r="I3" s="524" t="s">
        <v>0</v>
      </c>
      <c r="J3" s="524"/>
      <c r="K3" s="524"/>
      <c r="L3" s="524"/>
      <c r="M3" s="524"/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4"/>
      <c r="AF3" s="524"/>
      <c r="AG3" s="524"/>
      <c r="AH3" s="524"/>
      <c r="AI3" s="524"/>
      <c r="AJ3" s="524"/>
      <c r="AK3" s="524"/>
      <c r="AL3" s="524"/>
      <c r="AM3" s="524"/>
      <c r="AN3" s="524"/>
      <c r="AO3" s="524"/>
      <c r="AP3" s="524"/>
      <c r="AQ3" s="524"/>
      <c r="AR3" s="524"/>
      <c r="AS3" s="524"/>
      <c r="AT3" s="524"/>
      <c r="AU3" s="524"/>
      <c r="AV3" s="524"/>
      <c r="AW3" s="524"/>
      <c r="AX3" s="524"/>
      <c r="AY3" s="524"/>
      <c r="AZ3" s="524"/>
      <c r="BA3" s="524"/>
      <c r="BB3" s="524"/>
      <c r="BC3" s="524"/>
      <c r="BD3" s="524"/>
      <c r="BE3" s="524"/>
      <c r="BF3" s="524"/>
      <c r="BG3" s="524"/>
      <c r="BH3" s="524"/>
      <c r="BI3" s="524"/>
      <c r="BJ3" s="524"/>
      <c r="BK3" s="524"/>
      <c r="BL3" s="524"/>
      <c r="BM3" s="524"/>
      <c r="BN3" s="524"/>
      <c r="BO3" s="524"/>
      <c r="BP3" s="524"/>
      <c r="BQ3" s="524"/>
      <c r="BR3" s="524"/>
      <c r="BS3" s="524"/>
      <c r="BT3" s="524"/>
      <c r="BU3" s="524"/>
      <c r="BV3" s="524"/>
      <c r="BW3" s="524"/>
      <c r="BX3" s="524"/>
      <c r="BY3" s="524"/>
      <c r="BZ3" s="524"/>
      <c r="CA3" s="524"/>
      <c r="CB3" s="524"/>
      <c r="CC3" s="524"/>
      <c r="CD3" s="524"/>
      <c r="CE3" s="524"/>
      <c r="CF3" s="524"/>
      <c r="CG3" s="524"/>
      <c r="CH3" s="524"/>
      <c r="CI3" s="524"/>
      <c r="CJ3" s="524"/>
      <c r="CK3" s="524"/>
      <c r="CL3" s="524"/>
      <c r="CM3" s="525"/>
      <c r="CN3" s="530" t="s">
        <v>126</v>
      </c>
      <c r="CO3" s="518"/>
      <c r="CP3" s="518"/>
      <c r="CQ3" s="518"/>
      <c r="CR3" s="518"/>
      <c r="CS3" s="518"/>
      <c r="CT3" s="518"/>
      <c r="CU3" s="519"/>
      <c r="CV3" s="530" t="s">
        <v>127</v>
      </c>
      <c r="CW3" s="518"/>
      <c r="CX3" s="518"/>
      <c r="CY3" s="518"/>
      <c r="CZ3" s="518"/>
      <c r="DA3" s="518"/>
      <c r="DB3" s="518"/>
      <c r="DC3" s="518"/>
      <c r="DD3" s="518"/>
      <c r="DE3" s="519"/>
      <c r="DF3" s="533" t="s">
        <v>4</v>
      </c>
      <c r="DG3" s="534"/>
      <c r="DH3" s="534"/>
      <c r="DI3" s="534"/>
      <c r="DJ3" s="534"/>
      <c r="DK3" s="534"/>
      <c r="DL3" s="534"/>
      <c r="DM3" s="534"/>
      <c r="DN3" s="534"/>
      <c r="DO3" s="534"/>
      <c r="DP3" s="534"/>
      <c r="DQ3" s="534"/>
      <c r="DR3" s="534"/>
      <c r="DS3" s="534"/>
      <c r="DT3" s="534"/>
      <c r="DU3" s="534"/>
      <c r="DV3" s="534"/>
      <c r="DW3" s="534"/>
      <c r="DX3" s="534"/>
      <c r="DY3" s="534"/>
      <c r="DZ3" s="534"/>
      <c r="EA3" s="534"/>
      <c r="EB3" s="534"/>
      <c r="EC3" s="534"/>
      <c r="ED3" s="534"/>
      <c r="EE3" s="534"/>
      <c r="EF3" s="534"/>
      <c r="EG3" s="534"/>
      <c r="EH3" s="534"/>
      <c r="EI3" s="534"/>
      <c r="EJ3" s="534"/>
      <c r="EK3" s="534"/>
      <c r="EL3" s="534"/>
      <c r="EM3" s="534"/>
      <c r="EN3" s="534"/>
      <c r="EO3" s="534"/>
      <c r="EP3" s="534"/>
      <c r="EQ3" s="534"/>
      <c r="ER3" s="534"/>
      <c r="ES3" s="534"/>
      <c r="ET3" s="534"/>
      <c r="EU3" s="534"/>
      <c r="EV3" s="534"/>
      <c r="EW3" s="534"/>
      <c r="EX3" s="534"/>
      <c r="EY3" s="534"/>
      <c r="EZ3" s="534"/>
      <c r="FA3" s="534"/>
      <c r="FB3" s="534"/>
      <c r="FC3" s="534"/>
      <c r="FD3" s="534"/>
      <c r="FE3" s="534"/>
    </row>
    <row r="4" spans="1:164" ht="11.25" customHeight="1">
      <c r="A4" s="520"/>
      <c r="B4" s="520"/>
      <c r="C4" s="520"/>
      <c r="D4" s="520"/>
      <c r="E4" s="520"/>
      <c r="F4" s="520"/>
      <c r="G4" s="520"/>
      <c r="H4" s="521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/>
      <c r="AO4" s="526"/>
      <c r="AP4" s="526"/>
      <c r="AQ4" s="526"/>
      <c r="AR4" s="526"/>
      <c r="AS4" s="526"/>
      <c r="AT4" s="526"/>
      <c r="AU4" s="526"/>
      <c r="AV4" s="526"/>
      <c r="AW4" s="526"/>
      <c r="AX4" s="526"/>
      <c r="AY4" s="526"/>
      <c r="AZ4" s="526"/>
      <c r="BA4" s="526"/>
      <c r="BB4" s="526"/>
      <c r="BC4" s="526"/>
      <c r="BD4" s="526"/>
      <c r="BE4" s="526"/>
      <c r="BF4" s="526"/>
      <c r="BG4" s="526"/>
      <c r="BH4" s="526"/>
      <c r="BI4" s="526"/>
      <c r="BJ4" s="526"/>
      <c r="BK4" s="526"/>
      <c r="BL4" s="526"/>
      <c r="BM4" s="526"/>
      <c r="BN4" s="526"/>
      <c r="BO4" s="526"/>
      <c r="BP4" s="526"/>
      <c r="BQ4" s="526"/>
      <c r="BR4" s="526"/>
      <c r="BS4" s="526"/>
      <c r="BT4" s="526"/>
      <c r="BU4" s="526"/>
      <c r="BV4" s="526"/>
      <c r="BW4" s="526"/>
      <c r="BX4" s="526"/>
      <c r="BY4" s="526"/>
      <c r="BZ4" s="526"/>
      <c r="CA4" s="526"/>
      <c r="CB4" s="526"/>
      <c r="CC4" s="526"/>
      <c r="CD4" s="526"/>
      <c r="CE4" s="526"/>
      <c r="CF4" s="526"/>
      <c r="CG4" s="526"/>
      <c r="CH4" s="526"/>
      <c r="CI4" s="526"/>
      <c r="CJ4" s="526"/>
      <c r="CK4" s="526"/>
      <c r="CL4" s="526"/>
      <c r="CM4" s="527"/>
      <c r="CN4" s="531"/>
      <c r="CO4" s="520"/>
      <c r="CP4" s="520"/>
      <c r="CQ4" s="520"/>
      <c r="CR4" s="520"/>
      <c r="CS4" s="520"/>
      <c r="CT4" s="520"/>
      <c r="CU4" s="521"/>
      <c r="CV4" s="531"/>
      <c r="CW4" s="520"/>
      <c r="CX4" s="520"/>
      <c r="CY4" s="520"/>
      <c r="CZ4" s="520"/>
      <c r="DA4" s="520"/>
      <c r="DB4" s="520"/>
      <c r="DC4" s="520"/>
      <c r="DD4" s="520"/>
      <c r="DE4" s="521"/>
      <c r="DF4" s="535" t="s">
        <v>5</v>
      </c>
      <c r="DG4" s="536"/>
      <c r="DH4" s="536"/>
      <c r="DI4" s="536"/>
      <c r="DJ4" s="536"/>
      <c r="DK4" s="536"/>
      <c r="DL4" s="537" t="s">
        <v>198</v>
      </c>
      <c r="DM4" s="537"/>
      <c r="DN4" s="537"/>
      <c r="DO4" s="538" t="s">
        <v>6</v>
      </c>
      <c r="DP4" s="538"/>
      <c r="DQ4" s="538"/>
      <c r="DR4" s="539"/>
      <c r="DS4" s="535" t="s">
        <v>5</v>
      </c>
      <c r="DT4" s="536"/>
      <c r="DU4" s="536"/>
      <c r="DV4" s="536"/>
      <c r="DW4" s="536"/>
      <c r="DX4" s="536"/>
      <c r="DY4" s="537" t="s">
        <v>199</v>
      </c>
      <c r="DZ4" s="537"/>
      <c r="EA4" s="537"/>
      <c r="EB4" s="538" t="s">
        <v>6</v>
      </c>
      <c r="EC4" s="538"/>
      <c r="ED4" s="538"/>
      <c r="EE4" s="539"/>
      <c r="EF4" s="535" t="s">
        <v>5</v>
      </c>
      <c r="EG4" s="536"/>
      <c r="EH4" s="536"/>
      <c r="EI4" s="536"/>
      <c r="EJ4" s="536"/>
      <c r="EK4" s="536"/>
      <c r="EL4" s="537" t="s">
        <v>200</v>
      </c>
      <c r="EM4" s="537"/>
      <c r="EN4" s="537"/>
      <c r="EO4" s="538" t="s">
        <v>6</v>
      </c>
      <c r="EP4" s="538"/>
      <c r="EQ4" s="538"/>
      <c r="ER4" s="539"/>
      <c r="ES4" s="530" t="s">
        <v>7</v>
      </c>
      <c r="ET4" s="518"/>
      <c r="EU4" s="518"/>
      <c r="EV4" s="518"/>
      <c r="EW4" s="518"/>
      <c r="EX4" s="518"/>
      <c r="EY4" s="518"/>
      <c r="EZ4" s="518"/>
      <c r="FA4" s="518"/>
      <c r="FB4" s="518"/>
      <c r="FC4" s="518"/>
      <c r="FD4" s="518"/>
      <c r="FE4" s="518"/>
    </row>
    <row r="5" spans="1:164" ht="39" customHeight="1">
      <c r="A5" s="522"/>
      <c r="B5" s="522"/>
      <c r="C5" s="522"/>
      <c r="D5" s="522"/>
      <c r="E5" s="522"/>
      <c r="F5" s="522"/>
      <c r="G5" s="522"/>
      <c r="H5" s="523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8"/>
      <c r="AL5" s="528"/>
      <c r="AM5" s="528"/>
      <c r="AN5" s="528"/>
      <c r="AO5" s="528"/>
      <c r="AP5" s="528"/>
      <c r="AQ5" s="528"/>
      <c r="AR5" s="528"/>
      <c r="AS5" s="528"/>
      <c r="AT5" s="528"/>
      <c r="AU5" s="528"/>
      <c r="AV5" s="528"/>
      <c r="AW5" s="528"/>
      <c r="AX5" s="528"/>
      <c r="AY5" s="528"/>
      <c r="AZ5" s="528"/>
      <c r="BA5" s="528"/>
      <c r="BB5" s="528"/>
      <c r="BC5" s="528"/>
      <c r="BD5" s="528"/>
      <c r="BE5" s="528"/>
      <c r="BF5" s="528"/>
      <c r="BG5" s="528"/>
      <c r="BH5" s="528"/>
      <c r="BI5" s="528"/>
      <c r="BJ5" s="528"/>
      <c r="BK5" s="528"/>
      <c r="BL5" s="528"/>
      <c r="BM5" s="528"/>
      <c r="BN5" s="528"/>
      <c r="BO5" s="528"/>
      <c r="BP5" s="528"/>
      <c r="BQ5" s="528"/>
      <c r="BR5" s="528"/>
      <c r="BS5" s="528"/>
      <c r="BT5" s="528"/>
      <c r="BU5" s="528"/>
      <c r="BV5" s="528"/>
      <c r="BW5" s="528"/>
      <c r="BX5" s="528"/>
      <c r="BY5" s="528"/>
      <c r="BZ5" s="528"/>
      <c r="CA5" s="528"/>
      <c r="CB5" s="528"/>
      <c r="CC5" s="528"/>
      <c r="CD5" s="528"/>
      <c r="CE5" s="528"/>
      <c r="CF5" s="528"/>
      <c r="CG5" s="528"/>
      <c r="CH5" s="528"/>
      <c r="CI5" s="528"/>
      <c r="CJ5" s="528"/>
      <c r="CK5" s="528"/>
      <c r="CL5" s="528"/>
      <c r="CM5" s="529"/>
      <c r="CN5" s="532"/>
      <c r="CO5" s="522"/>
      <c r="CP5" s="522"/>
      <c r="CQ5" s="522"/>
      <c r="CR5" s="522"/>
      <c r="CS5" s="522"/>
      <c r="CT5" s="522"/>
      <c r="CU5" s="523"/>
      <c r="CV5" s="532"/>
      <c r="CW5" s="522"/>
      <c r="CX5" s="522"/>
      <c r="CY5" s="522"/>
      <c r="CZ5" s="522"/>
      <c r="DA5" s="522"/>
      <c r="DB5" s="522"/>
      <c r="DC5" s="522"/>
      <c r="DD5" s="522"/>
      <c r="DE5" s="523"/>
      <c r="DF5" s="540" t="s">
        <v>128</v>
      </c>
      <c r="DG5" s="541"/>
      <c r="DH5" s="541"/>
      <c r="DI5" s="541"/>
      <c r="DJ5" s="541"/>
      <c r="DK5" s="541"/>
      <c r="DL5" s="541"/>
      <c r="DM5" s="541"/>
      <c r="DN5" s="541"/>
      <c r="DO5" s="541"/>
      <c r="DP5" s="541"/>
      <c r="DQ5" s="541"/>
      <c r="DR5" s="542"/>
      <c r="DS5" s="540" t="s">
        <v>129</v>
      </c>
      <c r="DT5" s="541"/>
      <c r="DU5" s="541"/>
      <c r="DV5" s="541"/>
      <c r="DW5" s="541"/>
      <c r="DX5" s="541"/>
      <c r="DY5" s="541"/>
      <c r="DZ5" s="541"/>
      <c r="EA5" s="541"/>
      <c r="EB5" s="541"/>
      <c r="EC5" s="541"/>
      <c r="ED5" s="541"/>
      <c r="EE5" s="542"/>
      <c r="EF5" s="540" t="s">
        <v>130</v>
      </c>
      <c r="EG5" s="541"/>
      <c r="EH5" s="541"/>
      <c r="EI5" s="541"/>
      <c r="EJ5" s="541"/>
      <c r="EK5" s="541"/>
      <c r="EL5" s="541"/>
      <c r="EM5" s="541"/>
      <c r="EN5" s="541"/>
      <c r="EO5" s="541"/>
      <c r="EP5" s="541"/>
      <c r="EQ5" s="541"/>
      <c r="ER5" s="542"/>
      <c r="ES5" s="532"/>
      <c r="ET5" s="522"/>
      <c r="EU5" s="522"/>
      <c r="EV5" s="522"/>
      <c r="EW5" s="522"/>
      <c r="EX5" s="522"/>
      <c r="EY5" s="522"/>
      <c r="EZ5" s="522"/>
      <c r="FA5" s="522"/>
      <c r="FB5" s="522"/>
      <c r="FC5" s="522"/>
      <c r="FD5" s="522"/>
      <c r="FE5" s="522"/>
    </row>
    <row r="6" spans="1:164" ht="12" thickBot="1">
      <c r="A6" s="543" t="s">
        <v>11</v>
      </c>
      <c r="B6" s="543"/>
      <c r="C6" s="543"/>
      <c r="D6" s="543"/>
      <c r="E6" s="543"/>
      <c r="F6" s="543"/>
      <c r="G6" s="543"/>
      <c r="H6" s="544"/>
      <c r="I6" s="543" t="s">
        <v>12</v>
      </c>
      <c r="J6" s="543"/>
      <c r="K6" s="543"/>
      <c r="L6" s="543"/>
      <c r="M6" s="543"/>
      <c r="N6" s="543"/>
      <c r="O6" s="543"/>
      <c r="P6" s="543"/>
      <c r="Q6" s="543"/>
      <c r="R6" s="543"/>
      <c r="S6" s="543"/>
      <c r="T6" s="543"/>
      <c r="U6" s="543"/>
      <c r="V6" s="543"/>
      <c r="W6" s="543"/>
      <c r="X6" s="543"/>
      <c r="Y6" s="543"/>
      <c r="Z6" s="543"/>
      <c r="AA6" s="543"/>
      <c r="AB6" s="543"/>
      <c r="AC6" s="543"/>
      <c r="AD6" s="543"/>
      <c r="AE6" s="543"/>
      <c r="AF6" s="543"/>
      <c r="AG6" s="543"/>
      <c r="AH6" s="543"/>
      <c r="AI6" s="543"/>
      <c r="AJ6" s="543"/>
      <c r="AK6" s="543"/>
      <c r="AL6" s="543"/>
      <c r="AM6" s="543"/>
      <c r="AN6" s="543"/>
      <c r="AO6" s="543"/>
      <c r="AP6" s="543"/>
      <c r="AQ6" s="543"/>
      <c r="AR6" s="543"/>
      <c r="AS6" s="543"/>
      <c r="AT6" s="543"/>
      <c r="AU6" s="543"/>
      <c r="AV6" s="543"/>
      <c r="AW6" s="543"/>
      <c r="AX6" s="543"/>
      <c r="AY6" s="543"/>
      <c r="AZ6" s="543"/>
      <c r="BA6" s="543"/>
      <c r="BB6" s="543"/>
      <c r="BC6" s="543"/>
      <c r="BD6" s="543"/>
      <c r="BE6" s="543"/>
      <c r="BF6" s="543"/>
      <c r="BG6" s="543"/>
      <c r="BH6" s="543"/>
      <c r="BI6" s="543"/>
      <c r="BJ6" s="543"/>
      <c r="BK6" s="543"/>
      <c r="BL6" s="543"/>
      <c r="BM6" s="543"/>
      <c r="BN6" s="543"/>
      <c r="BO6" s="543"/>
      <c r="BP6" s="543"/>
      <c r="BQ6" s="543"/>
      <c r="BR6" s="543"/>
      <c r="BS6" s="543"/>
      <c r="BT6" s="543"/>
      <c r="BU6" s="543"/>
      <c r="BV6" s="543"/>
      <c r="BW6" s="543"/>
      <c r="BX6" s="543"/>
      <c r="BY6" s="543"/>
      <c r="BZ6" s="543"/>
      <c r="CA6" s="543"/>
      <c r="CB6" s="543"/>
      <c r="CC6" s="543"/>
      <c r="CD6" s="543"/>
      <c r="CE6" s="543"/>
      <c r="CF6" s="543"/>
      <c r="CG6" s="543"/>
      <c r="CH6" s="543"/>
      <c r="CI6" s="543"/>
      <c r="CJ6" s="543"/>
      <c r="CK6" s="543"/>
      <c r="CL6" s="543"/>
      <c r="CM6" s="544"/>
      <c r="CN6" s="545" t="s">
        <v>13</v>
      </c>
      <c r="CO6" s="546"/>
      <c r="CP6" s="546"/>
      <c r="CQ6" s="546"/>
      <c r="CR6" s="546"/>
      <c r="CS6" s="546"/>
      <c r="CT6" s="546"/>
      <c r="CU6" s="547"/>
      <c r="CV6" s="545" t="s">
        <v>14</v>
      </c>
      <c r="CW6" s="546"/>
      <c r="CX6" s="546"/>
      <c r="CY6" s="546"/>
      <c r="CZ6" s="546"/>
      <c r="DA6" s="546"/>
      <c r="DB6" s="546"/>
      <c r="DC6" s="546"/>
      <c r="DD6" s="546"/>
      <c r="DE6" s="547"/>
      <c r="DF6" s="545" t="s">
        <v>15</v>
      </c>
      <c r="DG6" s="546"/>
      <c r="DH6" s="546"/>
      <c r="DI6" s="546"/>
      <c r="DJ6" s="546"/>
      <c r="DK6" s="546"/>
      <c r="DL6" s="546"/>
      <c r="DM6" s="546"/>
      <c r="DN6" s="546"/>
      <c r="DO6" s="546"/>
      <c r="DP6" s="546"/>
      <c r="DQ6" s="546"/>
      <c r="DR6" s="547"/>
      <c r="DS6" s="545" t="s">
        <v>16</v>
      </c>
      <c r="DT6" s="546"/>
      <c r="DU6" s="546"/>
      <c r="DV6" s="546"/>
      <c r="DW6" s="546"/>
      <c r="DX6" s="546"/>
      <c r="DY6" s="546"/>
      <c r="DZ6" s="546"/>
      <c r="EA6" s="546"/>
      <c r="EB6" s="546"/>
      <c r="EC6" s="546"/>
      <c r="ED6" s="546"/>
      <c r="EE6" s="547"/>
      <c r="EF6" s="545" t="s">
        <v>17</v>
      </c>
      <c r="EG6" s="546"/>
      <c r="EH6" s="546"/>
      <c r="EI6" s="546"/>
      <c r="EJ6" s="546"/>
      <c r="EK6" s="546"/>
      <c r="EL6" s="546"/>
      <c r="EM6" s="546"/>
      <c r="EN6" s="546"/>
      <c r="EO6" s="546"/>
      <c r="EP6" s="546"/>
      <c r="EQ6" s="546"/>
      <c r="ER6" s="547"/>
      <c r="ES6" s="545" t="s">
        <v>18</v>
      </c>
      <c r="ET6" s="546"/>
      <c r="EU6" s="546"/>
      <c r="EV6" s="546"/>
      <c r="EW6" s="546"/>
      <c r="EX6" s="546"/>
      <c r="EY6" s="546"/>
      <c r="EZ6" s="546"/>
      <c r="FA6" s="546"/>
      <c r="FB6" s="546"/>
      <c r="FC6" s="546"/>
      <c r="FD6" s="546"/>
      <c r="FE6" s="546"/>
    </row>
    <row r="7" spans="1:164" ht="12.75" customHeight="1">
      <c r="A7" s="548">
        <v>1</v>
      </c>
      <c r="B7" s="548"/>
      <c r="C7" s="548"/>
      <c r="D7" s="548"/>
      <c r="E7" s="548"/>
      <c r="F7" s="548"/>
      <c r="G7" s="548"/>
      <c r="H7" s="549"/>
      <c r="I7" s="550" t="s">
        <v>131</v>
      </c>
      <c r="J7" s="551"/>
      <c r="K7" s="551"/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551"/>
      <c r="BI7" s="551"/>
      <c r="BJ7" s="551"/>
      <c r="BK7" s="551"/>
      <c r="BL7" s="551"/>
      <c r="BM7" s="551"/>
      <c r="BN7" s="551"/>
      <c r="BO7" s="551"/>
      <c r="BP7" s="551"/>
      <c r="BQ7" s="551"/>
      <c r="BR7" s="551"/>
      <c r="BS7" s="551"/>
      <c r="BT7" s="551"/>
      <c r="BU7" s="551"/>
      <c r="BV7" s="551"/>
      <c r="BW7" s="551"/>
      <c r="BX7" s="551"/>
      <c r="BY7" s="551"/>
      <c r="BZ7" s="551"/>
      <c r="CA7" s="551"/>
      <c r="CB7" s="551"/>
      <c r="CC7" s="551"/>
      <c r="CD7" s="551"/>
      <c r="CE7" s="551"/>
      <c r="CF7" s="551"/>
      <c r="CG7" s="551"/>
      <c r="CH7" s="551"/>
      <c r="CI7" s="551"/>
      <c r="CJ7" s="551"/>
      <c r="CK7" s="551"/>
      <c r="CL7" s="551"/>
      <c r="CM7" s="551"/>
      <c r="CN7" s="552" t="s">
        <v>132</v>
      </c>
      <c r="CO7" s="553"/>
      <c r="CP7" s="553"/>
      <c r="CQ7" s="553"/>
      <c r="CR7" s="553"/>
      <c r="CS7" s="553"/>
      <c r="CT7" s="553"/>
      <c r="CU7" s="554"/>
      <c r="CV7" s="555" t="s">
        <v>21</v>
      </c>
      <c r="CW7" s="556"/>
      <c r="CX7" s="556"/>
      <c r="CY7" s="556"/>
      <c r="CZ7" s="556"/>
      <c r="DA7" s="556"/>
      <c r="DB7" s="556"/>
      <c r="DC7" s="556"/>
      <c r="DD7" s="556"/>
      <c r="DE7" s="557"/>
      <c r="DF7" s="558">
        <f>DF8+DF9+DF10+DF11+DF22</f>
        <v>14882484.359999999</v>
      </c>
      <c r="DG7" s="559"/>
      <c r="DH7" s="559"/>
      <c r="DI7" s="559"/>
      <c r="DJ7" s="559"/>
      <c r="DK7" s="559"/>
      <c r="DL7" s="559"/>
      <c r="DM7" s="559"/>
      <c r="DN7" s="559"/>
      <c r="DO7" s="559"/>
      <c r="DP7" s="559"/>
      <c r="DQ7" s="559"/>
      <c r="DR7" s="560"/>
      <c r="DS7" s="558">
        <f>DS8+DS9+DS10+DS11+DS22</f>
        <v>12996422.359999999</v>
      </c>
      <c r="DT7" s="559"/>
      <c r="DU7" s="559"/>
      <c r="DV7" s="559"/>
      <c r="DW7" s="559"/>
      <c r="DX7" s="559"/>
      <c r="DY7" s="559"/>
      <c r="DZ7" s="559"/>
      <c r="EA7" s="559"/>
      <c r="EB7" s="559"/>
      <c r="EC7" s="559"/>
      <c r="ED7" s="559"/>
      <c r="EE7" s="560"/>
      <c r="EF7" s="558">
        <f>EF8+EF9+EF10+EF11+EF22</f>
        <v>13218749.359999999</v>
      </c>
      <c r="EG7" s="559"/>
      <c r="EH7" s="559"/>
      <c r="EI7" s="559"/>
      <c r="EJ7" s="559"/>
      <c r="EK7" s="559"/>
      <c r="EL7" s="559"/>
      <c r="EM7" s="559"/>
      <c r="EN7" s="559"/>
      <c r="EO7" s="559"/>
      <c r="EP7" s="559"/>
      <c r="EQ7" s="559"/>
      <c r="ER7" s="560"/>
      <c r="ES7" s="558">
        <f>ES8+ES9+ES10+ES11+ES22</f>
        <v>0</v>
      </c>
      <c r="ET7" s="559"/>
      <c r="EU7" s="559"/>
      <c r="EV7" s="559"/>
      <c r="EW7" s="559"/>
      <c r="EX7" s="559"/>
      <c r="EY7" s="559"/>
      <c r="EZ7" s="559"/>
      <c r="FA7" s="559"/>
      <c r="FB7" s="559"/>
      <c r="FC7" s="559"/>
      <c r="FD7" s="559"/>
      <c r="FE7" s="560"/>
      <c r="FH7" s="251"/>
    </row>
    <row r="8" spans="1:164" ht="104.25" customHeight="1">
      <c r="A8" s="561" t="s">
        <v>133</v>
      </c>
      <c r="B8" s="561"/>
      <c r="C8" s="561"/>
      <c r="D8" s="561"/>
      <c r="E8" s="561"/>
      <c r="F8" s="561"/>
      <c r="G8" s="561"/>
      <c r="H8" s="562"/>
      <c r="I8" s="563" t="s">
        <v>134</v>
      </c>
      <c r="J8" s="564"/>
      <c r="K8" s="564"/>
      <c r="L8" s="564"/>
      <c r="M8" s="564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4"/>
      <c r="AY8" s="564"/>
      <c r="AZ8" s="564"/>
      <c r="BA8" s="564"/>
      <c r="BB8" s="564"/>
      <c r="BC8" s="564"/>
      <c r="BD8" s="564"/>
      <c r="BE8" s="564"/>
      <c r="BF8" s="564"/>
      <c r="BG8" s="564"/>
      <c r="BH8" s="564"/>
      <c r="BI8" s="564"/>
      <c r="BJ8" s="564"/>
      <c r="BK8" s="564"/>
      <c r="BL8" s="564"/>
      <c r="BM8" s="564"/>
      <c r="BN8" s="564"/>
      <c r="BO8" s="564"/>
      <c r="BP8" s="564"/>
      <c r="BQ8" s="564"/>
      <c r="BR8" s="564"/>
      <c r="BS8" s="564"/>
      <c r="BT8" s="564"/>
      <c r="BU8" s="564"/>
      <c r="BV8" s="564"/>
      <c r="BW8" s="564"/>
      <c r="BX8" s="564"/>
      <c r="BY8" s="564"/>
      <c r="BZ8" s="564"/>
      <c r="CA8" s="564"/>
      <c r="CB8" s="564"/>
      <c r="CC8" s="564"/>
      <c r="CD8" s="564"/>
      <c r="CE8" s="564"/>
      <c r="CF8" s="564"/>
      <c r="CG8" s="564"/>
      <c r="CH8" s="564"/>
      <c r="CI8" s="564"/>
      <c r="CJ8" s="564"/>
      <c r="CK8" s="564"/>
      <c r="CL8" s="564"/>
      <c r="CM8" s="564"/>
      <c r="CN8" s="565" t="s">
        <v>135</v>
      </c>
      <c r="CO8" s="561"/>
      <c r="CP8" s="561"/>
      <c r="CQ8" s="561"/>
      <c r="CR8" s="561"/>
      <c r="CS8" s="561"/>
      <c r="CT8" s="561"/>
      <c r="CU8" s="562"/>
      <c r="CV8" s="566" t="s">
        <v>21</v>
      </c>
      <c r="CW8" s="561"/>
      <c r="CX8" s="561"/>
      <c r="CY8" s="561"/>
      <c r="CZ8" s="561"/>
      <c r="DA8" s="561"/>
      <c r="DB8" s="561"/>
      <c r="DC8" s="561"/>
      <c r="DD8" s="561"/>
      <c r="DE8" s="562"/>
      <c r="DF8" s="567"/>
      <c r="DG8" s="568"/>
      <c r="DH8" s="568"/>
      <c r="DI8" s="568"/>
      <c r="DJ8" s="568"/>
      <c r="DK8" s="568"/>
      <c r="DL8" s="568"/>
      <c r="DM8" s="568"/>
      <c r="DN8" s="568"/>
      <c r="DO8" s="568"/>
      <c r="DP8" s="568"/>
      <c r="DQ8" s="568"/>
      <c r="DR8" s="569"/>
      <c r="DS8" s="567"/>
      <c r="DT8" s="568"/>
      <c r="DU8" s="568"/>
      <c r="DV8" s="568"/>
      <c r="DW8" s="568"/>
      <c r="DX8" s="568"/>
      <c r="DY8" s="568"/>
      <c r="DZ8" s="568"/>
      <c r="EA8" s="568"/>
      <c r="EB8" s="568"/>
      <c r="EC8" s="568"/>
      <c r="ED8" s="568"/>
      <c r="EE8" s="569"/>
      <c r="EF8" s="567"/>
      <c r="EG8" s="568"/>
      <c r="EH8" s="568"/>
      <c r="EI8" s="568"/>
      <c r="EJ8" s="568"/>
      <c r="EK8" s="568"/>
      <c r="EL8" s="568"/>
      <c r="EM8" s="568"/>
      <c r="EN8" s="568"/>
      <c r="EO8" s="568"/>
      <c r="EP8" s="568"/>
      <c r="EQ8" s="568"/>
      <c r="ER8" s="569"/>
      <c r="ES8" s="567"/>
      <c r="ET8" s="568"/>
      <c r="EU8" s="568"/>
      <c r="EV8" s="568"/>
      <c r="EW8" s="568"/>
      <c r="EX8" s="568"/>
      <c r="EY8" s="568"/>
      <c r="EZ8" s="568"/>
      <c r="FA8" s="568"/>
      <c r="FB8" s="568"/>
      <c r="FC8" s="568"/>
      <c r="FD8" s="568"/>
      <c r="FE8" s="570"/>
    </row>
    <row r="9" spans="1:164" ht="24" customHeight="1">
      <c r="A9" s="561" t="s">
        <v>136</v>
      </c>
      <c r="B9" s="561"/>
      <c r="C9" s="561"/>
      <c r="D9" s="561"/>
      <c r="E9" s="561"/>
      <c r="F9" s="561"/>
      <c r="G9" s="561"/>
      <c r="H9" s="562"/>
      <c r="I9" s="563" t="s">
        <v>137</v>
      </c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4"/>
      <c r="AF9" s="564"/>
      <c r="AG9" s="564"/>
      <c r="AH9" s="564"/>
      <c r="AI9" s="564"/>
      <c r="AJ9" s="564"/>
      <c r="AK9" s="564"/>
      <c r="AL9" s="564"/>
      <c r="AM9" s="564"/>
      <c r="AN9" s="564"/>
      <c r="AO9" s="564"/>
      <c r="AP9" s="564"/>
      <c r="AQ9" s="564"/>
      <c r="AR9" s="564"/>
      <c r="AS9" s="564"/>
      <c r="AT9" s="564"/>
      <c r="AU9" s="564"/>
      <c r="AV9" s="564"/>
      <c r="AW9" s="564"/>
      <c r="AX9" s="564"/>
      <c r="AY9" s="564"/>
      <c r="AZ9" s="564"/>
      <c r="BA9" s="564"/>
      <c r="BB9" s="564"/>
      <c r="BC9" s="564"/>
      <c r="BD9" s="564"/>
      <c r="BE9" s="564"/>
      <c r="BF9" s="564"/>
      <c r="BG9" s="564"/>
      <c r="BH9" s="564"/>
      <c r="BI9" s="564"/>
      <c r="BJ9" s="564"/>
      <c r="BK9" s="564"/>
      <c r="BL9" s="564"/>
      <c r="BM9" s="564"/>
      <c r="BN9" s="564"/>
      <c r="BO9" s="564"/>
      <c r="BP9" s="564"/>
      <c r="BQ9" s="564"/>
      <c r="BR9" s="564"/>
      <c r="BS9" s="564"/>
      <c r="BT9" s="564"/>
      <c r="BU9" s="564"/>
      <c r="BV9" s="564"/>
      <c r="BW9" s="564"/>
      <c r="BX9" s="564"/>
      <c r="BY9" s="564"/>
      <c r="BZ9" s="564"/>
      <c r="CA9" s="564"/>
      <c r="CB9" s="564"/>
      <c r="CC9" s="564"/>
      <c r="CD9" s="564"/>
      <c r="CE9" s="564"/>
      <c r="CF9" s="564"/>
      <c r="CG9" s="564"/>
      <c r="CH9" s="564"/>
      <c r="CI9" s="564"/>
      <c r="CJ9" s="564"/>
      <c r="CK9" s="564"/>
      <c r="CL9" s="564"/>
      <c r="CM9" s="564"/>
      <c r="CN9" s="565" t="s">
        <v>138</v>
      </c>
      <c r="CO9" s="561"/>
      <c r="CP9" s="561"/>
      <c r="CQ9" s="561"/>
      <c r="CR9" s="561"/>
      <c r="CS9" s="561"/>
      <c r="CT9" s="561"/>
      <c r="CU9" s="562"/>
      <c r="CV9" s="566" t="s">
        <v>21</v>
      </c>
      <c r="CW9" s="561"/>
      <c r="CX9" s="561"/>
      <c r="CY9" s="561"/>
      <c r="CZ9" s="561"/>
      <c r="DA9" s="561"/>
      <c r="DB9" s="561"/>
      <c r="DC9" s="561"/>
      <c r="DD9" s="561"/>
      <c r="DE9" s="562"/>
      <c r="DF9" s="567"/>
      <c r="DG9" s="568"/>
      <c r="DH9" s="568"/>
      <c r="DI9" s="568"/>
      <c r="DJ9" s="568"/>
      <c r="DK9" s="568"/>
      <c r="DL9" s="568"/>
      <c r="DM9" s="568"/>
      <c r="DN9" s="568"/>
      <c r="DO9" s="568"/>
      <c r="DP9" s="568"/>
      <c r="DQ9" s="568"/>
      <c r="DR9" s="569"/>
      <c r="DS9" s="567"/>
      <c r="DT9" s="568"/>
      <c r="DU9" s="568"/>
      <c r="DV9" s="568"/>
      <c r="DW9" s="568"/>
      <c r="DX9" s="568"/>
      <c r="DY9" s="568"/>
      <c r="DZ9" s="568"/>
      <c r="EA9" s="568"/>
      <c r="EB9" s="568"/>
      <c r="EC9" s="568"/>
      <c r="ED9" s="568"/>
      <c r="EE9" s="569"/>
      <c r="EF9" s="567"/>
      <c r="EG9" s="568"/>
      <c r="EH9" s="568"/>
      <c r="EI9" s="568"/>
      <c r="EJ9" s="568"/>
      <c r="EK9" s="568"/>
      <c r="EL9" s="568"/>
      <c r="EM9" s="568"/>
      <c r="EN9" s="568"/>
      <c r="EO9" s="568"/>
      <c r="EP9" s="568"/>
      <c r="EQ9" s="568"/>
      <c r="ER9" s="569"/>
      <c r="ES9" s="567"/>
      <c r="ET9" s="568"/>
      <c r="EU9" s="568"/>
      <c r="EV9" s="568"/>
      <c r="EW9" s="568"/>
      <c r="EX9" s="568"/>
      <c r="EY9" s="568"/>
      <c r="EZ9" s="568"/>
      <c r="FA9" s="568"/>
      <c r="FB9" s="568"/>
      <c r="FC9" s="568"/>
      <c r="FD9" s="568"/>
      <c r="FE9" s="570"/>
    </row>
    <row r="10" spans="1:164" ht="24" customHeight="1">
      <c r="A10" s="561" t="s">
        <v>139</v>
      </c>
      <c r="B10" s="561"/>
      <c r="C10" s="561"/>
      <c r="D10" s="561"/>
      <c r="E10" s="561"/>
      <c r="F10" s="561"/>
      <c r="G10" s="561"/>
      <c r="H10" s="562"/>
      <c r="I10" s="563" t="s">
        <v>140</v>
      </c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4"/>
      <c r="AI10" s="564"/>
      <c r="AJ10" s="564"/>
      <c r="AK10" s="564"/>
      <c r="AL10" s="564"/>
      <c r="AM10" s="564"/>
      <c r="AN10" s="564"/>
      <c r="AO10" s="564"/>
      <c r="AP10" s="564"/>
      <c r="AQ10" s="564"/>
      <c r="AR10" s="564"/>
      <c r="AS10" s="564"/>
      <c r="AT10" s="564"/>
      <c r="AU10" s="564"/>
      <c r="AV10" s="564"/>
      <c r="AW10" s="564"/>
      <c r="AX10" s="564"/>
      <c r="AY10" s="564"/>
      <c r="AZ10" s="564"/>
      <c r="BA10" s="564"/>
      <c r="BB10" s="564"/>
      <c r="BC10" s="564"/>
      <c r="BD10" s="564"/>
      <c r="BE10" s="564"/>
      <c r="BF10" s="564"/>
      <c r="BG10" s="564"/>
      <c r="BH10" s="564"/>
      <c r="BI10" s="564"/>
      <c r="BJ10" s="564"/>
      <c r="BK10" s="564"/>
      <c r="BL10" s="564"/>
      <c r="BM10" s="564"/>
      <c r="BN10" s="564"/>
      <c r="BO10" s="564"/>
      <c r="BP10" s="564"/>
      <c r="BQ10" s="564"/>
      <c r="BR10" s="564"/>
      <c r="BS10" s="564"/>
      <c r="BT10" s="564"/>
      <c r="BU10" s="564"/>
      <c r="BV10" s="564"/>
      <c r="BW10" s="564"/>
      <c r="BX10" s="564"/>
      <c r="BY10" s="564"/>
      <c r="BZ10" s="564"/>
      <c r="CA10" s="564"/>
      <c r="CB10" s="564"/>
      <c r="CC10" s="564"/>
      <c r="CD10" s="564"/>
      <c r="CE10" s="564"/>
      <c r="CF10" s="564"/>
      <c r="CG10" s="564"/>
      <c r="CH10" s="564"/>
      <c r="CI10" s="564"/>
      <c r="CJ10" s="564"/>
      <c r="CK10" s="564"/>
      <c r="CL10" s="564"/>
      <c r="CM10" s="564"/>
      <c r="CN10" s="565" t="s">
        <v>141</v>
      </c>
      <c r="CO10" s="561"/>
      <c r="CP10" s="561"/>
      <c r="CQ10" s="561"/>
      <c r="CR10" s="561"/>
      <c r="CS10" s="561"/>
      <c r="CT10" s="561"/>
      <c r="CU10" s="562"/>
      <c r="CV10" s="566" t="s">
        <v>21</v>
      </c>
      <c r="CW10" s="561"/>
      <c r="CX10" s="561"/>
      <c r="CY10" s="561"/>
      <c r="CZ10" s="561"/>
      <c r="DA10" s="561"/>
      <c r="DB10" s="561"/>
      <c r="DC10" s="561"/>
      <c r="DD10" s="561"/>
      <c r="DE10" s="562"/>
      <c r="DF10" s="567">
        <v>2057615</v>
      </c>
      <c r="DG10" s="568"/>
      <c r="DH10" s="568"/>
      <c r="DI10" s="568"/>
      <c r="DJ10" s="568"/>
      <c r="DK10" s="568"/>
      <c r="DL10" s="568"/>
      <c r="DM10" s="568"/>
      <c r="DN10" s="568"/>
      <c r="DO10" s="568"/>
      <c r="DP10" s="568"/>
      <c r="DQ10" s="568"/>
      <c r="DR10" s="569"/>
      <c r="DS10" s="567"/>
      <c r="DT10" s="568"/>
      <c r="DU10" s="568"/>
      <c r="DV10" s="568"/>
      <c r="DW10" s="568"/>
      <c r="DX10" s="568"/>
      <c r="DY10" s="568"/>
      <c r="DZ10" s="568"/>
      <c r="EA10" s="568"/>
      <c r="EB10" s="568"/>
      <c r="EC10" s="568"/>
      <c r="ED10" s="568"/>
      <c r="EE10" s="569"/>
      <c r="EF10" s="567"/>
      <c r="EG10" s="568"/>
      <c r="EH10" s="568"/>
      <c r="EI10" s="568"/>
      <c r="EJ10" s="568"/>
      <c r="EK10" s="568"/>
      <c r="EL10" s="568"/>
      <c r="EM10" s="568"/>
      <c r="EN10" s="568"/>
      <c r="EO10" s="568"/>
      <c r="EP10" s="568"/>
      <c r="EQ10" s="568"/>
      <c r="ER10" s="569"/>
      <c r="ES10" s="567"/>
      <c r="ET10" s="568"/>
      <c r="EU10" s="568"/>
      <c r="EV10" s="568"/>
      <c r="EW10" s="568"/>
      <c r="EX10" s="568"/>
      <c r="EY10" s="568"/>
      <c r="EZ10" s="568"/>
      <c r="FA10" s="568"/>
      <c r="FB10" s="568"/>
      <c r="FC10" s="568"/>
      <c r="FD10" s="568"/>
      <c r="FE10" s="570"/>
    </row>
    <row r="11" spans="1:164" ht="24" customHeight="1">
      <c r="A11" s="561" t="s">
        <v>142</v>
      </c>
      <c r="B11" s="561"/>
      <c r="C11" s="561"/>
      <c r="D11" s="561"/>
      <c r="E11" s="561"/>
      <c r="F11" s="561"/>
      <c r="G11" s="561"/>
      <c r="H11" s="562"/>
      <c r="I11" s="563" t="s">
        <v>143</v>
      </c>
      <c r="J11" s="564"/>
      <c r="K11" s="564"/>
      <c r="L11" s="564"/>
      <c r="M11" s="564"/>
      <c r="N11" s="564"/>
      <c r="O11" s="564"/>
      <c r="P11" s="564"/>
      <c r="Q11" s="564"/>
      <c r="R11" s="564"/>
      <c r="S11" s="564"/>
      <c r="T11" s="564"/>
      <c r="U11" s="564"/>
      <c r="V11" s="564"/>
      <c r="W11" s="564"/>
      <c r="X11" s="564"/>
      <c r="Y11" s="564"/>
      <c r="Z11" s="564"/>
      <c r="AA11" s="564"/>
      <c r="AB11" s="564"/>
      <c r="AC11" s="564"/>
      <c r="AD11" s="564"/>
      <c r="AE11" s="564"/>
      <c r="AF11" s="564"/>
      <c r="AG11" s="564"/>
      <c r="AH11" s="564"/>
      <c r="AI11" s="564"/>
      <c r="AJ11" s="564"/>
      <c r="AK11" s="564"/>
      <c r="AL11" s="564"/>
      <c r="AM11" s="564"/>
      <c r="AN11" s="564"/>
      <c r="AO11" s="564"/>
      <c r="AP11" s="564"/>
      <c r="AQ11" s="564"/>
      <c r="AR11" s="564"/>
      <c r="AS11" s="564"/>
      <c r="AT11" s="564"/>
      <c r="AU11" s="564"/>
      <c r="AV11" s="564"/>
      <c r="AW11" s="564"/>
      <c r="AX11" s="564"/>
      <c r="AY11" s="564"/>
      <c r="AZ11" s="564"/>
      <c r="BA11" s="564"/>
      <c r="BB11" s="564"/>
      <c r="BC11" s="564"/>
      <c r="BD11" s="564"/>
      <c r="BE11" s="564"/>
      <c r="BF11" s="564"/>
      <c r="BG11" s="564"/>
      <c r="BH11" s="564"/>
      <c r="BI11" s="564"/>
      <c r="BJ11" s="564"/>
      <c r="BK11" s="564"/>
      <c r="BL11" s="564"/>
      <c r="BM11" s="564"/>
      <c r="BN11" s="564"/>
      <c r="BO11" s="564"/>
      <c r="BP11" s="564"/>
      <c r="BQ11" s="564"/>
      <c r="BR11" s="564"/>
      <c r="BS11" s="564"/>
      <c r="BT11" s="564"/>
      <c r="BU11" s="564"/>
      <c r="BV11" s="564"/>
      <c r="BW11" s="564"/>
      <c r="BX11" s="564"/>
      <c r="BY11" s="564"/>
      <c r="BZ11" s="564"/>
      <c r="CA11" s="564"/>
      <c r="CB11" s="564"/>
      <c r="CC11" s="564"/>
      <c r="CD11" s="564"/>
      <c r="CE11" s="564"/>
      <c r="CF11" s="564"/>
      <c r="CG11" s="564"/>
      <c r="CH11" s="564"/>
      <c r="CI11" s="564"/>
      <c r="CJ11" s="564"/>
      <c r="CK11" s="564"/>
      <c r="CL11" s="564"/>
      <c r="CM11" s="564"/>
      <c r="CN11" s="565" t="s">
        <v>144</v>
      </c>
      <c r="CO11" s="561"/>
      <c r="CP11" s="561"/>
      <c r="CQ11" s="561"/>
      <c r="CR11" s="561"/>
      <c r="CS11" s="561"/>
      <c r="CT11" s="561"/>
      <c r="CU11" s="562"/>
      <c r="CV11" s="566" t="s">
        <v>21</v>
      </c>
      <c r="CW11" s="561"/>
      <c r="CX11" s="561"/>
      <c r="CY11" s="561"/>
      <c r="CZ11" s="561"/>
      <c r="DA11" s="561"/>
      <c r="DB11" s="561"/>
      <c r="DC11" s="561"/>
      <c r="DD11" s="561"/>
      <c r="DE11" s="562"/>
      <c r="DF11" s="567">
        <f>DF12+DF15+DF19</f>
        <v>12824869.359999999</v>
      </c>
      <c r="DG11" s="568"/>
      <c r="DH11" s="568"/>
      <c r="DI11" s="568"/>
      <c r="DJ11" s="568"/>
      <c r="DK11" s="568"/>
      <c r="DL11" s="568"/>
      <c r="DM11" s="568"/>
      <c r="DN11" s="568"/>
      <c r="DO11" s="568"/>
      <c r="DP11" s="568"/>
      <c r="DQ11" s="568"/>
      <c r="DR11" s="569"/>
      <c r="DS11" s="567">
        <f>DS12+DS15+DS19</f>
        <v>12996422.359999999</v>
      </c>
      <c r="DT11" s="568"/>
      <c r="DU11" s="568"/>
      <c r="DV11" s="568"/>
      <c r="DW11" s="568"/>
      <c r="DX11" s="568"/>
      <c r="DY11" s="568"/>
      <c r="DZ11" s="568"/>
      <c r="EA11" s="568"/>
      <c r="EB11" s="568"/>
      <c r="EC11" s="568"/>
      <c r="ED11" s="568"/>
      <c r="EE11" s="569"/>
      <c r="EF11" s="567">
        <f>EF12+EF15+EF19</f>
        <v>13218749.359999999</v>
      </c>
      <c r="EG11" s="568"/>
      <c r="EH11" s="568"/>
      <c r="EI11" s="568"/>
      <c r="EJ11" s="568"/>
      <c r="EK11" s="568"/>
      <c r="EL11" s="568"/>
      <c r="EM11" s="568"/>
      <c r="EN11" s="568"/>
      <c r="EO11" s="568"/>
      <c r="EP11" s="568"/>
      <c r="EQ11" s="568"/>
      <c r="ER11" s="569"/>
      <c r="ES11" s="567">
        <f>ES12+ES15+ES19</f>
        <v>0</v>
      </c>
      <c r="ET11" s="568"/>
      <c r="EU11" s="568"/>
      <c r="EV11" s="568"/>
      <c r="EW11" s="568"/>
      <c r="EX11" s="568"/>
      <c r="EY11" s="568"/>
      <c r="EZ11" s="568"/>
      <c r="FA11" s="568"/>
      <c r="FB11" s="568"/>
      <c r="FC11" s="568"/>
      <c r="FD11" s="568"/>
      <c r="FE11" s="569"/>
    </row>
    <row r="12" spans="1:164" ht="34.5" customHeight="1">
      <c r="A12" s="561" t="s">
        <v>145</v>
      </c>
      <c r="B12" s="561"/>
      <c r="C12" s="561"/>
      <c r="D12" s="561"/>
      <c r="E12" s="561"/>
      <c r="F12" s="561"/>
      <c r="G12" s="561"/>
      <c r="H12" s="562"/>
      <c r="I12" s="571" t="s">
        <v>146</v>
      </c>
      <c r="J12" s="572"/>
      <c r="K12" s="572"/>
      <c r="L12" s="572"/>
      <c r="M12" s="572"/>
      <c r="N12" s="572"/>
      <c r="O12" s="572"/>
      <c r="P12" s="572"/>
      <c r="Q12" s="572"/>
      <c r="R12" s="572"/>
      <c r="S12" s="572"/>
      <c r="T12" s="572"/>
      <c r="U12" s="572"/>
      <c r="V12" s="572"/>
      <c r="W12" s="572"/>
      <c r="X12" s="572"/>
      <c r="Y12" s="572"/>
      <c r="Z12" s="572"/>
      <c r="AA12" s="572"/>
      <c r="AB12" s="572"/>
      <c r="AC12" s="572"/>
      <c r="AD12" s="572"/>
      <c r="AE12" s="572"/>
      <c r="AF12" s="572"/>
      <c r="AG12" s="572"/>
      <c r="AH12" s="572"/>
      <c r="AI12" s="572"/>
      <c r="AJ12" s="572"/>
      <c r="AK12" s="572"/>
      <c r="AL12" s="572"/>
      <c r="AM12" s="572"/>
      <c r="AN12" s="572"/>
      <c r="AO12" s="572"/>
      <c r="AP12" s="572"/>
      <c r="AQ12" s="572"/>
      <c r="AR12" s="572"/>
      <c r="AS12" s="572"/>
      <c r="AT12" s="572"/>
      <c r="AU12" s="572"/>
      <c r="AV12" s="572"/>
      <c r="AW12" s="572"/>
      <c r="AX12" s="572"/>
      <c r="AY12" s="572"/>
      <c r="AZ12" s="572"/>
      <c r="BA12" s="572"/>
      <c r="BB12" s="572"/>
      <c r="BC12" s="572"/>
      <c r="BD12" s="572"/>
      <c r="BE12" s="572"/>
      <c r="BF12" s="572"/>
      <c r="BG12" s="572"/>
      <c r="BH12" s="572"/>
      <c r="BI12" s="572"/>
      <c r="BJ12" s="572"/>
      <c r="BK12" s="572"/>
      <c r="BL12" s="572"/>
      <c r="BM12" s="572"/>
      <c r="BN12" s="572"/>
      <c r="BO12" s="572"/>
      <c r="BP12" s="572"/>
      <c r="BQ12" s="572"/>
      <c r="BR12" s="572"/>
      <c r="BS12" s="572"/>
      <c r="BT12" s="572"/>
      <c r="BU12" s="572"/>
      <c r="BV12" s="572"/>
      <c r="BW12" s="572"/>
      <c r="BX12" s="572"/>
      <c r="BY12" s="572"/>
      <c r="BZ12" s="572"/>
      <c r="CA12" s="572"/>
      <c r="CB12" s="572"/>
      <c r="CC12" s="572"/>
      <c r="CD12" s="572"/>
      <c r="CE12" s="572"/>
      <c r="CF12" s="572"/>
      <c r="CG12" s="572"/>
      <c r="CH12" s="572"/>
      <c r="CI12" s="572"/>
      <c r="CJ12" s="572"/>
      <c r="CK12" s="572"/>
      <c r="CL12" s="572"/>
      <c r="CM12" s="572"/>
      <c r="CN12" s="565" t="s">
        <v>147</v>
      </c>
      <c r="CO12" s="561"/>
      <c r="CP12" s="561"/>
      <c r="CQ12" s="561"/>
      <c r="CR12" s="561"/>
      <c r="CS12" s="561"/>
      <c r="CT12" s="561"/>
      <c r="CU12" s="562"/>
      <c r="CV12" s="566" t="s">
        <v>21</v>
      </c>
      <c r="CW12" s="561"/>
      <c r="CX12" s="561"/>
      <c r="CY12" s="561"/>
      <c r="CZ12" s="561"/>
      <c r="DA12" s="561"/>
      <c r="DB12" s="561"/>
      <c r="DC12" s="561"/>
      <c r="DD12" s="561"/>
      <c r="DE12" s="562"/>
      <c r="DF12" s="573">
        <f>DF13+DF14</f>
        <v>4977839</v>
      </c>
      <c r="DG12" s="574"/>
      <c r="DH12" s="574"/>
      <c r="DI12" s="574"/>
      <c r="DJ12" s="574"/>
      <c r="DK12" s="574"/>
      <c r="DL12" s="574"/>
      <c r="DM12" s="574"/>
      <c r="DN12" s="574"/>
      <c r="DO12" s="574"/>
      <c r="DP12" s="574"/>
      <c r="DQ12" s="574"/>
      <c r="DR12" s="575"/>
      <c r="DS12" s="573">
        <f>DS13+DS14</f>
        <v>5031807</v>
      </c>
      <c r="DT12" s="574"/>
      <c r="DU12" s="574"/>
      <c r="DV12" s="574"/>
      <c r="DW12" s="574"/>
      <c r="DX12" s="574"/>
      <c r="DY12" s="574"/>
      <c r="DZ12" s="574"/>
      <c r="EA12" s="574"/>
      <c r="EB12" s="574"/>
      <c r="EC12" s="574"/>
      <c r="ED12" s="574"/>
      <c r="EE12" s="575"/>
      <c r="EF12" s="573">
        <f>EF13+EF14</f>
        <v>5254134</v>
      </c>
      <c r="EG12" s="574"/>
      <c r="EH12" s="574"/>
      <c r="EI12" s="574"/>
      <c r="EJ12" s="574"/>
      <c r="EK12" s="574"/>
      <c r="EL12" s="574"/>
      <c r="EM12" s="574"/>
      <c r="EN12" s="574"/>
      <c r="EO12" s="574"/>
      <c r="EP12" s="574"/>
      <c r="EQ12" s="574"/>
      <c r="ER12" s="575"/>
      <c r="ES12" s="573">
        <f>ES13+ES14</f>
        <v>0</v>
      </c>
      <c r="ET12" s="574"/>
      <c r="EU12" s="574"/>
      <c r="EV12" s="574"/>
      <c r="EW12" s="574"/>
      <c r="EX12" s="574"/>
      <c r="EY12" s="574"/>
      <c r="EZ12" s="574"/>
      <c r="FA12" s="574"/>
      <c r="FB12" s="574"/>
      <c r="FC12" s="574"/>
      <c r="FD12" s="574"/>
      <c r="FE12" s="575"/>
      <c r="FH12" s="251"/>
    </row>
    <row r="13" spans="1:164" ht="24" customHeight="1">
      <c r="A13" s="561" t="s">
        <v>148</v>
      </c>
      <c r="B13" s="561"/>
      <c r="C13" s="561"/>
      <c r="D13" s="561"/>
      <c r="E13" s="561"/>
      <c r="F13" s="561"/>
      <c r="G13" s="561"/>
      <c r="H13" s="562"/>
      <c r="I13" s="576" t="s">
        <v>149</v>
      </c>
      <c r="J13" s="577"/>
      <c r="K13" s="577"/>
      <c r="L13" s="577"/>
      <c r="M13" s="577"/>
      <c r="N13" s="577"/>
      <c r="O13" s="577"/>
      <c r="P13" s="577"/>
      <c r="Q13" s="577"/>
      <c r="R13" s="577"/>
      <c r="S13" s="577"/>
      <c r="T13" s="577"/>
      <c r="U13" s="577"/>
      <c r="V13" s="577"/>
      <c r="W13" s="577"/>
      <c r="X13" s="577"/>
      <c r="Y13" s="577"/>
      <c r="Z13" s="577"/>
      <c r="AA13" s="577"/>
      <c r="AB13" s="577"/>
      <c r="AC13" s="577"/>
      <c r="AD13" s="577"/>
      <c r="AE13" s="577"/>
      <c r="AF13" s="577"/>
      <c r="AG13" s="577"/>
      <c r="AH13" s="577"/>
      <c r="AI13" s="577"/>
      <c r="AJ13" s="577"/>
      <c r="AK13" s="577"/>
      <c r="AL13" s="577"/>
      <c r="AM13" s="577"/>
      <c r="AN13" s="577"/>
      <c r="AO13" s="577"/>
      <c r="AP13" s="577"/>
      <c r="AQ13" s="577"/>
      <c r="AR13" s="577"/>
      <c r="AS13" s="577"/>
      <c r="AT13" s="577"/>
      <c r="AU13" s="577"/>
      <c r="AV13" s="577"/>
      <c r="AW13" s="577"/>
      <c r="AX13" s="577"/>
      <c r="AY13" s="577"/>
      <c r="AZ13" s="577"/>
      <c r="BA13" s="577"/>
      <c r="BB13" s="577"/>
      <c r="BC13" s="577"/>
      <c r="BD13" s="577"/>
      <c r="BE13" s="577"/>
      <c r="BF13" s="577"/>
      <c r="BG13" s="577"/>
      <c r="BH13" s="577"/>
      <c r="BI13" s="577"/>
      <c r="BJ13" s="577"/>
      <c r="BK13" s="577"/>
      <c r="BL13" s="577"/>
      <c r="BM13" s="577"/>
      <c r="BN13" s="577"/>
      <c r="BO13" s="577"/>
      <c r="BP13" s="577"/>
      <c r="BQ13" s="577"/>
      <c r="BR13" s="577"/>
      <c r="BS13" s="577"/>
      <c r="BT13" s="577"/>
      <c r="BU13" s="577"/>
      <c r="BV13" s="577"/>
      <c r="BW13" s="577"/>
      <c r="BX13" s="577"/>
      <c r="BY13" s="577"/>
      <c r="BZ13" s="577"/>
      <c r="CA13" s="577"/>
      <c r="CB13" s="577"/>
      <c r="CC13" s="577"/>
      <c r="CD13" s="577"/>
      <c r="CE13" s="577"/>
      <c r="CF13" s="577"/>
      <c r="CG13" s="577"/>
      <c r="CH13" s="577"/>
      <c r="CI13" s="577"/>
      <c r="CJ13" s="577"/>
      <c r="CK13" s="577"/>
      <c r="CL13" s="577"/>
      <c r="CM13" s="577"/>
      <c r="CN13" s="565" t="s">
        <v>150</v>
      </c>
      <c r="CO13" s="561"/>
      <c r="CP13" s="561"/>
      <c r="CQ13" s="561"/>
      <c r="CR13" s="561"/>
      <c r="CS13" s="561"/>
      <c r="CT13" s="561"/>
      <c r="CU13" s="562"/>
      <c r="CV13" s="566" t="s">
        <v>21</v>
      </c>
      <c r="CW13" s="561"/>
      <c r="CX13" s="561"/>
      <c r="CY13" s="561"/>
      <c r="CZ13" s="561"/>
      <c r="DA13" s="561"/>
      <c r="DB13" s="561"/>
      <c r="DC13" s="561"/>
      <c r="DD13" s="561"/>
      <c r="DE13" s="562"/>
      <c r="DF13" s="573">
        <f>4786275+191564</f>
        <v>4977839</v>
      </c>
      <c r="DG13" s="574"/>
      <c r="DH13" s="574"/>
      <c r="DI13" s="574"/>
      <c r="DJ13" s="574"/>
      <c r="DK13" s="574"/>
      <c r="DL13" s="574"/>
      <c r="DM13" s="574"/>
      <c r="DN13" s="574"/>
      <c r="DO13" s="574"/>
      <c r="DP13" s="574"/>
      <c r="DQ13" s="574"/>
      <c r="DR13" s="575"/>
      <c r="DS13" s="573">
        <v>5031807</v>
      </c>
      <c r="DT13" s="574"/>
      <c r="DU13" s="574"/>
      <c r="DV13" s="574"/>
      <c r="DW13" s="574"/>
      <c r="DX13" s="574"/>
      <c r="DY13" s="574"/>
      <c r="DZ13" s="574"/>
      <c r="EA13" s="574"/>
      <c r="EB13" s="574"/>
      <c r="EC13" s="574"/>
      <c r="ED13" s="574"/>
      <c r="EE13" s="575"/>
      <c r="EF13" s="573">
        <v>5254134</v>
      </c>
      <c r="EG13" s="574"/>
      <c r="EH13" s="574"/>
      <c r="EI13" s="574"/>
      <c r="EJ13" s="574"/>
      <c r="EK13" s="574"/>
      <c r="EL13" s="574"/>
      <c r="EM13" s="574"/>
      <c r="EN13" s="574"/>
      <c r="EO13" s="574"/>
      <c r="EP13" s="574"/>
      <c r="EQ13" s="574"/>
      <c r="ER13" s="575"/>
      <c r="ES13" s="573"/>
      <c r="ET13" s="574"/>
      <c r="EU13" s="574"/>
      <c r="EV13" s="574"/>
      <c r="EW13" s="574"/>
      <c r="EX13" s="574"/>
      <c r="EY13" s="574"/>
      <c r="EZ13" s="574"/>
      <c r="FA13" s="574"/>
      <c r="FB13" s="574"/>
      <c r="FC13" s="574"/>
      <c r="FD13" s="574"/>
      <c r="FE13" s="575"/>
      <c r="FH13" s="251"/>
    </row>
    <row r="14" spans="1:164" ht="12.75" customHeight="1">
      <c r="A14" s="561" t="s">
        <v>151</v>
      </c>
      <c r="B14" s="561"/>
      <c r="C14" s="561"/>
      <c r="D14" s="561"/>
      <c r="E14" s="561"/>
      <c r="F14" s="561"/>
      <c r="G14" s="561"/>
      <c r="H14" s="562"/>
      <c r="I14" s="576" t="s">
        <v>152</v>
      </c>
      <c r="J14" s="577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577"/>
      <c r="AJ14" s="577"/>
      <c r="AK14" s="577"/>
      <c r="AL14" s="577"/>
      <c r="AM14" s="577"/>
      <c r="AN14" s="577"/>
      <c r="AO14" s="577"/>
      <c r="AP14" s="577"/>
      <c r="AQ14" s="577"/>
      <c r="AR14" s="577"/>
      <c r="AS14" s="577"/>
      <c r="AT14" s="577"/>
      <c r="AU14" s="577"/>
      <c r="AV14" s="577"/>
      <c r="AW14" s="577"/>
      <c r="AX14" s="577"/>
      <c r="AY14" s="577"/>
      <c r="AZ14" s="577"/>
      <c r="BA14" s="577"/>
      <c r="BB14" s="577"/>
      <c r="BC14" s="577"/>
      <c r="BD14" s="577"/>
      <c r="BE14" s="577"/>
      <c r="BF14" s="577"/>
      <c r="BG14" s="577"/>
      <c r="BH14" s="577"/>
      <c r="BI14" s="577"/>
      <c r="BJ14" s="577"/>
      <c r="BK14" s="577"/>
      <c r="BL14" s="577"/>
      <c r="BM14" s="577"/>
      <c r="BN14" s="577"/>
      <c r="BO14" s="577"/>
      <c r="BP14" s="577"/>
      <c r="BQ14" s="577"/>
      <c r="BR14" s="577"/>
      <c r="BS14" s="577"/>
      <c r="BT14" s="577"/>
      <c r="BU14" s="577"/>
      <c r="BV14" s="577"/>
      <c r="BW14" s="577"/>
      <c r="BX14" s="577"/>
      <c r="BY14" s="577"/>
      <c r="BZ14" s="577"/>
      <c r="CA14" s="577"/>
      <c r="CB14" s="577"/>
      <c r="CC14" s="577"/>
      <c r="CD14" s="577"/>
      <c r="CE14" s="577"/>
      <c r="CF14" s="577"/>
      <c r="CG14" s="577"/>
      <c r="CH14" s="577"/>
      <c r="CI14" s="577"/>
      <c r="CJ14" s="577"/>
      <c r="CK14" s="577"/>
      <c r="CL14" s="577"/>
      <c r="CM14" s="577"/>
      <c r="CN14" s="565" t="s">
        <v>153</v>
      </c>
      <c r="CO14" s="561"/>
      <c r="CP14" s="561"/>
      <c r="CQ14" s="561"/>
      <c r="CR14" s="561"/>
      <c r="CS14" s="561"/>
      <c r="CT14" s="561"/>
      <c r="CU14" s="562"/>
      <c r="CV14" s="566" t="s">
        <v>21</v>
      </c>
      <c r="CW14" s="561"/>
      <c r="CX14" s="561"/>
      <c r="CY14" s="561"/>
      <c r="CZ14" s="561"/>
      <c r="DA14" s="561"/>
      <c r="DB14" s="561"/>
      <c r="DC14" s="561"/>
      <c r="DD14" s="561"/>
      <c r="DE14" s="562"/>
      <c r="DF14" s="573"/>
      <c r="DG14" s="574"/>
      <c r="DH14" s="574"/>
      <c r="DI14" s="574"/>
      <c r="DJ14" s="574"/>
      <c r="DK14" s="574"/>
      <c r="DL14" s="574"/>
      <c r="DM14" s="574"/>
      <c r="DN14" s="574"/>
      <c r="DO14" s="574"/>
      <c r="DP14" s="574"/>
      <c r="DQ14" s="574"/>
      <c r="DR14" s="575"/>
      <c r="DS14" s="573"/>
      <c r="DT14" s="574"/>
      <c r="DU14" s="574"/>
      <c r="DV14" s="574"/>
      <c r="DW14" s="574"/>
      <c r="DX14" s="574"/>
      <c r="DY14" s="574"/>
      <c r="DZ14" s="574"/>
      <c r="EA14" s="574"/>
      <c r="EB14" s="574"/>
      <c r="EC14" s="574"/>
      <c r="ED14" s="574"/>
      <c r="EE14" s="575"/>
      <c r="EF14" s="573"/>
      <c r="EG14" s="574"/>
      <c r="EH14" s="574"/>
      <c r="EI14" s="574"/>
      <c r="EJ14" s="574"/>
      <c r="EK14" s="574"/>
      <c r="EL14" s="574"/>
      <c r="EM14" s="574"/>
      <c r="EN14" s="574"/>
      <c r="EO14" s="574"/>
      <c r="EP14" s="574"/>
      <c r="EQ14" s="574"/>
      <c r="ER14" s="575"/>
      <c r="ES14" s="573"/>
      <c r="ET14" s="574"/>
      <c r="EU14" s="574"/>
      <c r="EV14" s="574"/>
      <c r="EW14" s="574"/>
      <c r="EX14" s="574"/>
      <c r="EY14" s="574"/>
      <c r="EZ14" s="574"/>
      <c r="FA14" s="574"/>
      <c r="FB14" s="574"/>
      <c r="FC14" s="574"/>
      <c r="FD14" s="574"/>
      <c r="FE14" s="575"/>
      <c r="FH14" s="251"/>
    </row>
    <row r="15" spans="1:164" ht="24" customHeight="1">
      <c r="A15" s="561" t="s">
        <v>154</v>
      </c>
      <c r="B15" s="561"/>
      <c r="C15" s="561"/>
      <c r="D15" s="561"/>
      <c r="E15" s="561"/>
      <c r="F15" s="561"/>
      <c r="G15" s="561"/>
      <c r="H15" s="562"/>
      <c r="I15" s="571" t="s">
        <v>155</v>
      </c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572"/>
      <c r="AK15" s="572"/>
      <c r="AL15" s="572"/>
      <c r="AM15" s="572"/>
      <c r="AN15" s="572"/>
      <c r="AO15" s="572"/>
      <c r="AP15" s="572"/>
      <c r="AQ15" s="572"/>
      <c r="AR15" s="572"/>
      <c r="AS15" s="572"/>
      <c r="AT15" s="572"/>
      <c r="AU15" s="572"/>
      <c r="AV15" s="572"/>
      <c r="AW15" s="572"/>
      <c r="AX15" s="572"/>
      <c r="AY15" s="572"/>
      <c r="AZ15" s="572"/>
      <c r="BA15" s="572"/>
      <c r="BB15" s="572"/>
      <c r="BC15" s="572"/>
      <c r="BD15" s="572"/>
      <c r="BE15" s="572"/>
      <c r="BF15" s="572"/>
      <c r="BG15" s="572"/>
      <c r="BH15" s="572"/>
      <c r="BI15" s="572"/>
      <c r="BJ15" s="572"/>
      <c r="BK15" s="572"/>
      <c r="BL15" s="572"/>
      <c r="BM15" s="572"/>
      <c r="BN15" s="572"/>
      <c r="BO15" s="572"/>
      <c r="BP15" s="572"/>
      <c r="BQ15" s="572"/>
      <c r="BR15" s="572"/>
      <c r="BS15" s="572"/>
      <c r="BT15" s="572"/>
      <c r="BU15" s="572"/>
      <c r="BV15" s="572"/>
      <c r="BW15" s="572"/>
      <c r="BX15" s="572"/>
      <c r="BY15" s="572"/>
      <c r="BZ15" s="572"/>
      <c r="CA15" s="572"/>
      <c r="CB15" s="572"/>
      <c r="CC15" s="572"/>
      <c r="CD15" s="572"/>
      <c r="CE15" s="572"/>
      <c r="CF15" s="572"/>
      <c r="CG15" s="572"/>
      <c r="CH15" s="572"/>
      <c r="CI15" s="572"/>
      <c r="CJ15" s="572"/>
      <c r="CK15" s="572"/>
      <c r="CL15" s="572"/>
      <c r="CM15" s="572"/>
      <c r="CN15" s="565" t="s">
        <v>156</v>
      </c>
      <c r="CO15" s="561"/>
      <c r="CP15" s="561"/>
      <c r="CQ15" s="561"/>
      <c r="CR15" s="561"/>
      <c r="CS15" s="561"/>
      <c r="CT15" s="561"/>
      <c r="CU15" s="562"/>
      <c r="CV15" s="566" t="s">
        <v>21</v>
      </c>
      <c r="CW15" s="561"/>
      <c r="CX15" s="561"/>
      <c r="CY15" s="561"/>
      <c r="CZ15" s="561"/>
      <c r="DA15" s="561"/>
      <c r="DB15" s="561"/>
      <c r="DC15" s="561"/>
      <c r="DD15" s="561"/>
      <c r="DE15" s="562"/>
      <c r="DF15" s="573">
        <f>DF16+DF17</f>
        <v>7847030.3600000003</v>
      </c>
      <c r="DG15" s="574"/>
      <c r="DH15" s="574"/>
      <c r="DI15" s="574"/>
      <c r="DJ15" s="574"/>
      <c r="DK15" s="574"/>
      <c r="DL15" s="574"/>
      <c r="DM15" s="574"/>
      <c r="DN15" s="574"/>
      <c r="DO15" s="574"/>
      <c r="DP15" s="574"/>
      <c r="DQ15" s="574"/>
      <c r="DR15" s="575"/>
      <c r="DS15" s="573">
        <f>DS16+DS17</f>
        <v>7964615.3600000003</v>
      </c>
      <c r="DT15" s="574"/>
      <c r="DU15" s="574"/>
      <c r="DV15" s="574"/>
      <c r="DW15" s="574"/>
      <c r="DX15" s="574"/>
      <c r="DY15" s="574"/>
      <c r="DZ15" s="574"/>
      <c r="EA15" s="574"/>
      <c r="EB15" s="574"/>
      <c r="EC15" s="574"/>
      <c r="ED15" s="574"/>
      <c r="EE15" s="575"/>
      <c r="EF15" s="573">
        <f>EF16+EF17</f>
        <v>7964615.3600000003</v>
      </c>
      <c r="EG15" s="574"/>
      <c r="EH15" s="574"/>
      <c r="EI15" s="574"/>
      <c r="EJ15" s="574"/>
      <c r="EK15" s="574"/>
      <c r="EL15" s="574"/>
      <c r="EM15" s="574"/>
      <c r="EN15" s="574"/>
      <c r="EO15" s="574"/>
      <c r="EP15" s="574"/>
      <c r="EQ15" s="574"/>
      <c r="ER15" s="575"/>
      <c r="ES15" s="573">
        <f>ES16+ES17</f>
        <v>0</v>
      </c>
      <c r="ET15" s="574"/>
      <c r="EU15" s="574"/>
      <c r="EV15" s="574"/>
      <c r="EW15" s="574"/>
      <c r="EX15" s="574"/>
      <c r="EY15" s="574"/>
      <c r="EZ15" s="574"/>
      <c r="FA15" s="574"/>
      <c r="FB15" s="574"/>
      <c r="FC15" s="574"/>
      <c r="FD15" s="574"/>
      <c r="FE15" s="575"/>
      <c r="FH15" s="251"/>
    </row>
    <row r="16" spans="1:164" ht="24" customHeight="1">
      <c r="A16" s="561" t="s">
        <v>157</v>
      </c>
      <c r="B16" s="561"/>
      <c r="C16" s="561"/>
      <c r="D16" s="561"/>
      <c r="E16" s="561"/>
      <c r="F16" s="561"/>
      <c r="G16" s="561"/>
      <c r="H16" s="562"/>
      <c r="I16" s="576" t="s">
        <v>149</v>
      </c>
      <c r="J16" s="577"/>
      <c r="K16" s="577"/>
      <c r="L16" s="577"/>
      <c r="M16" s="577"/>
      <c r="N16" s="577"/>
      <c r="O16" s="577"/>
      <c r="P16" s="577"/>
      <c r="Q16" s="577"/>
      <c r="R16" s="577"/>
      <c r="S16" s="577"/>
      <c r="T16" s="577"/>
      <c r="U16" s="577"/>
      <c r="V16" s="577"/>
      <c r="W16" s="577"/>
      <c r="X16" s="577"/>
      <c r="Y16" s="577"/>
      <c r="Z16" s="577"/>
      <c r="AA16" s="577"/>
      <c r="AB16" s="577"/>
      <c r="AC16" s="577"/>
      <c r="AD16" s="577"/>
      <c r="AE16" s="577"/>
      <c r="AF16" s="577"/>
      <c r="AG16" s="577"/>
      <c r="AH16" s="577"/>
      <c r="AI16" s="577"/>
      <c r="AJ16" s="577"/>
      <c r="AK16" s="577"/>
      <c r="AL16" s="577"/>
      <c r="AM16" s="577"/>
      <c r="AN16" s="577"/>
      <c r="AO16" s="577"/>
      <c r="AP16" s="577"/>
      <c r="AQ16" s="577"/>
      <c r="AR16" s="577"/>
      <c r="AS16" s="577"/>
      <c r="AT16" s="577"/>
      <c r="AU16" s="577"/>
      <c r="AV16" s="577"/>
      <c r="AW16" s="577"/>
      <c r="AX16" s="577"/>
      <c r="AY16" s="577"/>
      <c r="AZ16" s="577"/>
      <c r="BA16" s="577"/>
      <c r="BB16" s="577"/>
      <c r="BC16" s="577"/>
      <c r="BD16" s="577"/>
      <c r="BE16" s="577"/>
      <c r="BF16" s="577"/>
      <c r="BG16" s="577"/>
      <c r="BH16" s="577"/>
      <c r="BI16" s="577"/>
      <c r="BJ16" s="577"/>
      <c r="BK16" s="577"/>
      <c r="BL16" s="577"/>
      <c r="BM16" s="577"/>
      <c r="BN16" s="577"/>
      <c r="BO16" s="577"/>
      <c r="BP16" s="577"/>
      <c r="BQ16" s="577"/>
      <c r="BR16" s="577"/>
      <c r="BS16" s="577"/>
      <c r="BT16" s="577"/>
      <c r="BU16" s="577"/>
      <c r="BV16" s="577"/>
      <c r="BW16" s="577"/>
      <c r="BX16" s="577"/>
      <c r="BY16" s="577"/>
      <c r="BZ16" s="577"/>
      <c r="CA16" s="577"/>
      <c r="CB16" s="577"/>
      <c r="CC16" s="577"/>
      <c r="CD16" s="577"/>
      <c r="CE16" s="577"/>
      <c r="CF16" s="577"/>
      <c r="CG16" s="577"/>
      <c r="CH16" s="577"/>
      <c r="CI16" s="577"/>
      <c r="CJ16" s="577"/>
      <c r="CK16" s="577"/>
      <c r="CL16" s="577"/>
      <c r="CM16" s="577"/>
      <c r="CN16" s="565" t="s">
        <v>158</v>
      </c>
      <c r="CO16" s="561"/>
      <c r="CP16" s="561"/>
      <c r="CQ16" s="561"/>
      <c r="CR16" s="561"/>
      <c r="CS16" s="561"/>
      <c r="CT16" s="561"/>
      <c r="CU16" s="562"/>
      <c r="CV16" s="566" t="s">
        <v>21</v>
      </c>
      <c r="CW16" s="561"/>
      <c r="CX16" s="561"/>
      <c r="CY16" s="561"/>
      <c r="CZ16" s="561"/>
      <c r="DA16" s="561"/>
      <c r="DB16" s="561"/>
      <c r="DC16" s="561"/>
      <c r="DD16" s="561"/>
      <c r="DE16" s="562"/>
      <c r="DF16" s="573">
        <f>6373856.36-2057615+1950759+1200030+280000+100000</f>
        <v>7847030.3600000003</v>
      </c>
      <c r="DG16" s="574"/>
      <c r="DH16" s="574"/>
      <c r="DI16" s="574"/>
      <c r="DJ16" s="574"/>
      <c r="DK16" s="574"/>
      <c r="DL16" s="574"/>
      <c r="DM16" s="574"/>
      <c r="DN16" s="574"/>
      <c r="DO16" s="574"/>
      <c r="DP16" s="574"/>
      <c r="DQ16" s="574"/>
      <c r="DR16" s="575"/>
      <c r="DS16" s="573">
        <f>6373856.36+1590759</f>
        <v>7964615.3600000003</v>
      </c>
      <c r="DT16" s="574"/>
      <c r="DU16" s="574"/>
      <c r="DV16" s="574"/>
      <c r="DW16" s="574"/>
      <c r="DX16" s="574"/>
      <c r="DY16" s="574"/>
      <c r="DZ16" s="574"/>
      <c r="EA16" s="574"/>
      <c r="EB16" s="574"/>
      <c r="EC16" s="574"/>
      <c r="ED16" s="574"/>
      <c r="EE16" s="575"/>
      <c r="EF16" s="573">
        <f>6373856.36+1590759</f>
        <v>7964615.3600000003</v>
      </c>
      <c r="EG16" s="574"/>
      <c r="EH16" s="574"/>
      <c r="EI16" s="574"/>
      <c r="EJ16" s="574"/>
      <c r="EK16" s="574"/>
      <c r="EL16" s="574"/>
      <c r="EM16" s="574"/>
      <c r="EN16" s="574"/>
      <c r="EO16" s="574"/>
      <c r="EP16" s="574"/>
      <c r="EQ16" s="574"/>
      <c r="ER16" s="575"/>
      <c r="ES16" s="573"/>
      <c r="ET16" s="574"/>
      <c r="EU16" s="574"/>
      <c r="EV16" s="574"/>
      <c r="EW16" s="574"/>
      <c r="EX16" s="574"/>
      <c r="EY16" s="574"/>
      <c r="EZ16" s="574"/>
      <c r="FA16" s="574"/>
      <c r="FB16" s="574"/>
      <c r="FC16" s="574"/>
      <c r="FD16" s="574"/>
      <c r="FE16" s="575"/>
      <c r="FH16" s="251"/>
    </row>
    <row r="17" spans="1:164" ht="12.75" customHeight="1">
      <c r="A17" s="561" t="s">
        <v>159</v>
      </c>
      <c r="B17" s="561"/>
      <c r="C17" s="561"/>
      <c r="D17" s="561"/>
      <c r="E17" s="561"/>
      <c r="F17" s="561"/>
      <c r="G17" s="561"/>
      <c r="H17" s="562"/>
      <c r="I17" s="576" t="s">
        <v>152</v>
      </c>
      <c r="J17" s="577"/>
      <c r="K17" s="577"/>
      <c r="L17" s="577"/>
      <c r="M17" s="577"/>
      <c r="N17" s="577"/>
      <c r="O17" s="577"/>
      <c r="P17" s="577"/>
      <c r="Q17" s="577"/>
      <c r="R17" s="577"/>
      <c r="S17" s="577"/>
      <c r="T17" s="577"/>
      <c r="U17" s="577"/>
      <c r="V17" s="577"/>
      <c r="W17" s="577"/>
      <c r="X17" s="577"/>
      <c r="Y17" s="577"/>
      <c r="Z17" s="577"/>
      <c r="AA17" s="577"/>
      <c r="AB17" s="577"/>
      <c r="AC17" s="577"/>
      <c r="AD17" s="577"/>
      <c r="AE17" s="577"/>
      <c r="AF17" s="577"/>
      <c r="AG17" s="577"/>
      <c r="AH17" s="577"/>
      <c r="AI17" s="577"/>
      <c r="AJ17" s="577"/>
      <c r="AK17" s="577"/>
      <c r="AL17" s="577"/>
      <c r="AM17" s="577"/>
      <c r="AN17" s="577"/>
      <c r="AO17" s="577"/>
      <c r="AP17" s="577"/>
      <c r="AQ17" s="577"/>
      <c r="AR17" s="577"/>
      <c r="AS17" s="577"/>
      <c r="AT17" s="577"/>
      <c r="AU17" s="577"/>
      <c r="AV17" s="577"/>
      <c r="AW17" s="577"/>
      <c r="AX17" s="577"/>
      <c r="AY17" s="577"/>
      <c r="AZ17" s="577"/>
      <c r="BA17" s="577"/>
      <c r="BB17" s="577"/>
      <c r="BC17" s="577"/>
      <c r="BD17" s="577"/>
      <c r="BE17" s="577"/>
      <c r="BF17" s="577"/>
      <c r="BG17" s="577"/>
      <c r="BH17" s="577"/>
      <c r="BI17" s="577"/>
      <c r="BJ17" s="577"/>
      <c r="BK17" s="577"/>
      <c r="BL17" s="577"/>
      <c r="BM17" s="577"/>
      <c r="BN17" s="577"/>
      <c r="BO17" s="577"/>
      <c r="BP17" s="577"/>
      <c r="BQ17" s="577"/>
      <c r="BR17" s="577"/>
      <c r="BS17" s="577"/>
      <c r="BT17" s="577"/>
      <c r="BU17" s="577"/>
      <c r="BV17" s="577"/>
      <c r="BW17" s="577"/>
      <c r="BX17" s="577"/>
      <c r="BY17" s="577"/>
      <c r="BZ17" s="577"/>
      <c r="CA17" s="577"/>
      <c r="CB17" s="577"/>
      <c r="CC17" s="577"/>
      <c r="CD17" s="577"/>
      <c r="CE17" s="577"/>
      <c r="CF17" s="577"/>
      <c r="CG17" s="577"/>
      <c r="CH17" s="577"/>
      <c r="CI17" s="577"/>
      <c r="CJ17" s="577"/>
      <c r="CK17" s="577"/>
      <c r="CL17" s="577"/>
      <c r="CM17" s="577"/>
      <c r="CN17" s="565" t="s">
        <v>160</v>
      </c>
      <c r="CO17" s="561"/>
      <c r="CP17" s="561"/>
      <c r="CQ17" s="561"/>
      <c r="CR17" s="561"/>
      <c r="CS17" s="561"/>
      <c r="CT17" s="561"/>
      <c r="CU17" s="562"/>
      <c r="CV17" s="566" t="s">
        <v>21</v>
      </c>
      <c r="CW17" s="561"/>
      <c r="CX17" s="561"/>
      <c r="CY17" s="561"/>
      <c r="CZ17" s="561"/>
      <c r="DA17" s="561"/>
      <c r="DB17" s="561"/>
      <c r="DC17" s="561"/>
      <c r="DD17" s="561"/>
      <c r="DE17" s="562"/>
      <c r="DF17" s="573"/>
      <c r="DG17" s="574"/>
      <c r="DH17" s="574"/>
      <c r="DI17" s="574"/>
      <c r="DJ17" s="574"/>
      <c r="DK17" s="574"/>
      <c r="DL17" s="574"/>
      <c r="DM17" s="574"/>
      <c r="DN17" s="574"/>
      <c r="DO17" s="574"/>
      <c r="DP17" s="574"/>
      <c r="DQ17" s="574"/>
      <c r="DR17" s="575"/>
      <c r="DS17" s="573"/>
      <c r="DT17" s="574"/>
      <c r="DU17" s="574"/>
      <c r="DV17" s="574"/>
      <c r="DW17" s="574"/>
      <c r="DX17" s="574"/>
      <c r="DY17" s="574"/>
      <c r="DZ17" s="574"/>
      <c r="EA17" s="574"/>
      <c r="EB17" s="574"/>
      <c r="EC17" s="574"/>
      <c r="ED17" s="574"/>
      <c r="EE17" s="575"/>
      <c r="EF17" s="573"/>
      <c r="EG17" s="574"/>
      <c r="EH17" s="574"/>
      <c r="EI17" s="574"/>
      <c r="EJ17" s="574"/>
      <c r="EK17" s="574"/>
      <c r="EL17" s="574"/>
      <c r="EM17" s="574"/>
      <c r="EN17" s="574"/>
      <c r="EO17" s="574"/>
      <c r="EP17" s="574"/>
      <c r="EQ17" s="574"/>
      <c r="ER17" s="575"/>
      <c r="ES17" s="573"/>
      <c r="ET17" s="574"/>
      <c r="EU17" s="574"/>
      <c r="EV17" s="574"/>
      <c r="EW17" s="574"/>
      <c r="EX17" s="574"/>
      <c r="EY17" s="574"/>
      <c r="EZ17" s="574"/>
      <c r="FA17" s="574"/>
      <c r="FB17" s="574"/>
      <c r="FC17" s="574"/>
      <c r="FD17" s="574"/>
      <c r="FE17" s="575"/>
      <c r="FH17" s="251"/>
    </row>
    <row r="18" spans="1:164" ht="12.75" customHeight="1">
      <c r="A18" s="561" t="s">
        <v>161</v>
      </c>
      <c r="B18" s="561"/>
      <c r="C18" s="561"/>
      <c r="D18" s="561"/>
      <c r="E18" s="561"/>
      <c r="F18" s="561"/>
      <c r="G18" s="561"/>
      <c r="H18" s="562"/>
      <c r="I18" s="571" t="s">
        <v>162</v>
      </c>
      <c r="J18" s="572"/>
      <c r="K18" s="572"/>
      <c r="L18" s="572"/>
      <c r="M18" s="572"/>
      <c r="N18" s="572"/>
      <c r="O18" s="572"/>
      <c r="P18" s="572"/>
      <c r="Q18" s="572"/>
      <c r="R18" s="572"/>
      <c r="S18" s="572"/>
      <c r="T18" s="572"/>
      <c r="U18" s="572"/>
      <c r="V18" s="572"/>
      <c r="W18" s="572"/>
      <c r="X18" s="572"/>
      <c r="Y18" s="572"/>
      <c r="Z18" s="572"/>
      <c r="AA18" s="572"/>
      <c r="AB18" s="572"/>
      <c r="AC18" s="572"/>
      <c r="AD18" s="572"/>
      <c r="AE18" s="572"/>
      <c r="AF18" s="572"/>
      <c r="AG18" s="572"/>
      <c r="AH18" s="572"/>
      <c r="AI18" s="572"/>
      <c r="AJ18" s="572"/>
      <c r="AK18" s="572"/>
      <c r="AL18" s="572"/>
      <c r="AM18" s="572"/>
      <c r="AN18" s="572"/>
      <c r="AO18" s="572"/>
      <c r="AP18" s="572"/>
      <c r="AQ18" s="572"/>
      <c r="AR18" s="572"/>
      <c r="AS18" s="572"/>
      <c r="AT18" s="572"/>
      <c r="AU18" s="572"/>
      <c r="AV18" s="572"/>
      <c r="AW18" s="572"/>
      <c r="AX18" s="572"/>
      <c r="AY18" s="572"/>
      <c r="AZ18" s="572"/>
      <c r="BA18" s="572"/>
      <c r="BB18" s="572"/>
      <c r="BC18" s="572"/>
      <c r="BD18" s="572"/>
      <c r="BE18" s="572"/>
      <c r="BF18" s="572"/>
      <c r="BG18" s="572"/>
      <c r="BH18" s="572"/>
      <c r="BI18" s="572"/>
      <c r="BJ18" s="572"/>
      <c r="BK18" s="572"/>
      <c r="BL18" s="572"/>
      <c r="BM18" s="572"/>
      <c r="BN18" s="572"/>
      <c r="BO18" s="572"/>
      <c r="BP18" s="572"/>
      <c r="BQ18" s="572"/>
      <c r="BR18" s="572"/>
      <c r="BS18" s="572"/>
      <c r="BT18" s="572"/>
      <c r="BU18" s="572"/>
      <c r="BV18" s="572"/>
      <c r="BW18" s="572"/>
      <c r="BX18" s="572"/>
      <c r="BY18" s="572"/>
      <c r="BZ18" s="572"/>
      <c r="CA18" s="572"/>
      <c r="CB18" s="572"/>
      <c r="CC18" s="572"/>
      <c r="CD18" s="572"/>
      <c r="CE18" s="572"/>
      <c r="CF18" s="572"/>
      <c r="CG18" s="572"/>
      <c r="CH18" s="572"/>
      <c r="CI18" s="572"/>
      <c r="CJ18" s="572"/>
      <c r="CK18" s="572"/>
      <c r="CL18" s="572"/>
      <c r="CM18" s="572"/>
      <c r="CN18" s="565" t="s">
        <v>163</v>
      </c>
      <c r="CO18" s="561"/>
      <c r="CP18" s="561"/>
      <c r="CQ18" s="561"/>
      <c r="CR18" s="561"/>
      <c r="CS18" s="561"/>
      <c r="CT18" s="561"/>
      <c r="CU18" s="562"/>
      <c r="CV18" s="566" t="s">
        <v>21</v>
      </c>
      <c r="CW18" s="561"/>
      <c r="CX18" s="561"/>
      <c r="CY18" s="561"/>
      <c r="CZ18" s="561"/>
      <c r="DA18" s="561"/>
      <c r="DB18" s="561"/>
      <c r="DC18" s="561"/>
      <c r="DD18" s="561"/>
      <c r="DE18" s="562"/>
      <c r="DF18" s="573"/>
      <c r="DG18" s="574"/>
      <c r="DH18" s="574"/>
      <c r="DI18" s="574"/>
      <c r="DJ18" s="574"/>
      <c r="DK18" s="574"/>
      <c r="DL18" s="574"/>
      <c r="DM18" s="574"/>
      <c r="DN18" s="574"/>
      <c r="DO18" s="574"/>
      <c r="DP18" s="574"/>
      <c r="DQ18" s="574"/>
      <c r="DR18" s="575"/>
      <c r="DS18" s="573"/>
      <c r="DT18" s="574"/>
      <c r="DU18" s="574"/>
      <c r="DV18" s="574"/>
      <c r="DW18" s="574"/>
      <c r="DX18" s="574"/>
      <c r="DY18" s="574"/>
      <c r="DZ18" s="574"/>
      <c r="EA18" s="574"/>
      <c r="EB18" s="574"/>
      <c r="EC18" s="574"/>
      <c r="ED18" s="574"/>
      <c r="EE18" s="575"/>
      <c r="EF18" s="573"/>
      <c r="EG18" s="574"/>
      <c r="EH18" s="574"/>
      <c r="EI18" s="574"/>
      <c r="EJ18" s="574"/>
      <c r="EK18" s="574"/>
      <c r="EL18" s="574"/>
      <c r="EM18" s="574"/>
      <c r="EN18" s="574"/>
      <c r="EO18" s="574"/>
      <c r="EP18" s="574"/>
      <c r="EQ18" s="574"/>
      <c r="ER18" s="575"/>
      <c r="ES18" s="573"/>
      <c r="ET18" s="574"/>
      <c r="EU18" s="574"/>
      <c r="EV18" s="574"/>
      <c r="EW18" s="574"/>
      <c r="EX18" s="574"/>
      <c r="EY18" s="574"/>
      <c r="EZ18" s="574"/>
      <c r="FA18" s="574"/>
      <c r="FB18" s="574"/>
      <c r="FC18" s="574"/>
      <c r="FD18" s="574"/>
      <c r="FE18" s="575"/>
      <c r="FH18" s="251"/>
    </row>
    <row r="19" spans="1:164" ht="12" thickBot="1">
      <c r="A19" s="561" t="s">
        <v>164</v>
      </c>
      <c r="B19" s="561"/>
      <c r="C19" s="561"/>
      <c r="D19" s="561"/>
      <c r="E19" s="561"/>
      <c r="F19" s="561"/>
      <c r="G19" s="561"/>
      <c r="H19" s="562"/>
      <c r="I19" s="571" t="s">
        <v>165</v>
      </c>
      <c r="J19" s="572"/>
      <c r="K19" s="572"/>
      <c r="L19" s="572"/>
      <c r="M19" s="572"/>
      <c r="N19" s="572"/>
      <c r="O19" s="572"/>
      <c r="P19" s="572"/>
      <c r="Q19" s="572"/>
      <c r="R19" s="572"/>
      <c r="S19" s="572"/>
      <c r="T19" s="572"/>
      <c r="U19" s="572"/>
      <c r="V19" s="572"/>
      <c r="W19" s="572"/>
      <c r="X19" s="572"/>
      <c r="Y19" s="572"/>
      <c r="Z19" s="572"/>
      <c r="AA19" s="572"/>
      <c r="AB19" s="572"/>
      <c r="AC19" s="572"/>
      <c r="AD19" s="572"/>
      <c r="AE19" s="572"/>
      <c r="AF19" s="572"/>
      <c r="AG19" s="572"/>
      <c r="AH19" s="572"/>
      <c r="AI19" s="572"/>
      <c r="AJ19" s="572"/>
      <c r="AK19" s="572"/>
      <c r="AL19" s="572"/>
      <c r="AM19" s="572"/>
      <c r="AN19" s="572"/>
      <c r="AO19" s="572"/>
      <c r="AP19" s="572"/>
      <c r="AQ19" s="572"/>
      <c r="AR19" s="572"/>
      <c r="AS19" s="572"/>
      <c r="AT19" s="572"/>
      <c r="AU19" s="572"/>
      <c r="AV19" s="572"/>
      <c r="AW19" s="572"/>
      <c r="AX19" s="572"/>
      <c r="AY19" s="572"/>
      <c r="AZ19" s="572"/>
      <c r="BA19" s="572"/>
      <c r="BB19" s="572"/>
      <c r="BC19" s="572"/>
      <c r="BD19" s="572"/>
      <c r="BE19" s="572"/>
      <c r="BF19" s="572"/>
      <c r="BG19" s="572"/>
      <c r="BH19" s="572"/>
      <c r="BI19" s="572"/>
      <c r="BJ19" s="572"/>
      <c r="BK19" s="572"/>
      <c r="BL19" s="572"/>
      <c r="BM19" s="572"/>
      <c r="BN19" s="572"/>
      <c r="BO19" s="572"/>
      <c r="BP19" s="572"/>
      <c r="BQ19" s="572"/>
      <c r="BR19" s="572"/>
      <c r="BS19" s="572"/>
      <c r="BT19" s="572"/>
      <c r="BU19" s="572"/>
      <c r="BV19" s="572"/>
      <c r="BW19" s="572"/>
      <c r="BX19" s="572"/>
      <c r="BY19" s="572"/>
      <c r="BZ19" s="572"/>
      <c r="CA19" s="572"/>
      <c r="CB19" s="572"/>
      <c r="CC19" s="572"/>
      <c r="CD19" s="572"/>
      <c r="CE19" s="572"/>
      <c r="CF19" s="572"/>
      <c r="CG19" s="572"/>
      <c r="CH19" s="572"/>
      <c r="CI19" s="572"/>
      <c r="CJ19" s="572"/>
      <c r="CK19" s="572"/>
      <c r="CL19" s="572"/>
      <c r="CM19" s="572"/>
      <c r="CN19" s="578" t="s">
        <v>166</v>
      </c>
      <c r="CO19" s="579"/>
      <c r="CP19" s="579"/>
      <c r="CQ19" s="579"/>
      <c r="CR19" s="579"/>
      <c r="CS19" s="579"/>
      <c r="CT19" s="579"/>
      <c r="CU19" s="580"/>
      <c r="CV19" s="581" t="s">
        <v>21</v>
      </c>
      <c r="CW19" s="579"/>
      <c r="CX19" s="579"/>
      <c r="CY19" s="579"/>
      <c r="CZ19" s="579"/>
      <c r="DA19" s="579"/>
      <c r="DB19" s="579"/>
      <c r="DC19" s="579"/>
      <c r="DD19" s="579"/>
      <c r="DE19" s="580"/>
      <c r="DF19" s="582">
        <f>DF20+DF21</f>
        <v>0</v>
      </c>
      <c r="DG19" s="583"/>
      <c r="DH19" s="583"/>
      <c r="DI19" s="583"/>
      <c r="DJ19" s="583"/>
      <c r="DK19" s="583"/>
      <c r="DL19" s="583"/>
      <c r="DM19" s="583"/>
      <c r="DN19" s="583"/>
      <c r="DO19" s="583"/>
      <c r="DP19" s="583"/>
      <c r="DQ19" s="583"/>
      <c r="DR19" s="584"/>
      <c r="DS19" s="582">
        <f>DS20+DS21</f>
        <v>0</v>
      </c>
      <c r="DT19" s="583"/>
      <c r="DU19" s="583"/>
      <c r="DV19" s="583"/>
      <c r="DW19" s="583"/>
      <c r="DX19" s="583"/>
      <c r="DY19" s="583"/>
      <c r="DZ19" s="583"/>
      <c r="EA19" s="583"/>
      <c r="EB19" s="583"/>
      <c r="EC19" s="583"/>
      <c r="ED19" s="583"/>
      <c r="EE19" s="584"/>
      <c r="EF19" s="582">
        <f>EF20+EF21</f>
        <v>0</v>
      </c>
      <c r="EG19" s="583"/>
      <c r="EH19" s="583"/>
      <c r="EI19" s="583"/>
      <c r="EJ19" s="583"/>
      <c r="EK19" s="583"/>
      <c r="EL19" s="583"/>
      <c r="EM19" s="583"/>
      <c r="EN19" s="583"/>
      <c r="EO19" s="583"/>
      <c r="EP19" s="583"/>
      <c r="EQ19" s="583"/>
      <c r="ER19" s="584"/>
      <c r="ES19" s="582">
        <f>ES20+ES21</f>
        <v>0</v>
      </c>
      <c r="ET19" s="583"/>
      <c r="EU19" s="583"/>
      <c r="EV19" s="583"/>
      <c r="EW19" s="583"/>
      <c r="EX19" s="583"/>
      <c r="EY19" s="583"/>
      <c r="EZ19" s="583"/>
      <c r="FA19" s="583"/>
      <c r="FB19" s="583"/>
      <c r="FC19" s="583"/>
      <c r="FD19" s="583"/>
      <c r="FE19" s="584"/>
      <c r="FH19" s="251"/>
    </row>
    <row r="20" spans="1:164" ht="24" customHeight="1">
      <c r="A20" s="561" t="s">
        <v>167</v>
      </c>
      <c r="B20" s="561"/>
      <c r="C20" s="561"/>
      <c r="D20" s="561"/>
      <c r="E20" s="561"/>
      <c r="F20" s="561"/>
      <c r="G20" s="561"/>
      <c r="H20" s="562"/>
      <c r="I20" s="576" t="s">
        <v>149</v>
      </c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7"/>
      <c r="AQ20" s="577"/>
      <c r="AR20" s="577"/>
      <c r="AS20" s="577"/>
      <c r="AT20" s="577"/>
      <c r="AU20" s="577"/>
      <c r="AV20" s="577"/>
      <c r="AW20" s="577"/>
      <c r="AX20" s="577"/>
      <c r="AY20" s="577"/>
      <c r="AZ20" s="577"/>
      <c r="BA20" s="577"/>
      <c r="BB20" s="577"/>
      <c r="BC20" s="577"/>
      <c r="BD20" s="577"/>
      <c r="BE20" s="577"/>
      <c r="BF20" s="577"/>
      <c r="BG20" s="577"/>
      <c r="BH20" s="577"/>
      <c r="BI20" s="577"/>
      <c r="BJ20" s="577"/>
      <c r="BK20" s="577"/>
      <c r="BL20" s="577"/>
      <c r="BM20" s="577"/>
      <c r="BN20" s="577"/>
      <c r="BO20" s="577"/>
      <c r="BP20" s="577"/>
      <c r="BQ20" s="577"/>
      <c r="BR20" s="577"/>
      <c r="BS20" s="577"/>
      <c r="BT20" s="577"/>
      <c r="BU20" s="577"/>
      <c r="BV20" s="577"/>
      <c r="BW20" s="577"/>
      <c r="BX20" s="577"/>
      <c r="BY20" s="577"/>
      <c r="BZ20" s="577"/>
      <c r="CA20" s="577"/>
      <c r="CB20" s="577"/>
      <c r="CC20" s="577"/>
      <c r="CD20" s="577"/>
      <c r="CE20" s="577"/>
      <c r="CF20" s="577"/>
      <c r="CG20" s="577"/>
      <c r="CH20" s="577"/>
      <c r="CI20" s="577"/>
      <c r="CJ20" s="577"/>
      <c r="CK20" s="577"/>
      <c r="CL20" s="577"/>
      <c r="CM20" s="577"/>
      <c r="CN20" s="585" t="s">
        <v>168</v>
      </c>
      <c r="CO20" s="556"/>
      <c r="CP20" s="556"/>
      <c r="CQ20" s="556"/>
      <c r="CR20" s="556"/>
      <c r="CS20" s="556"/>
      <c r="CT20" s="556"/>
      <c r="CU20" s="557"/>
      <c r="CV20" s="555" t="s">
        <v>21</v>
      </c>
      <c r="CW20" s="556"/>
      <c r="CX20" s="556"/>
      <c r="CY20" s="556"/>
      <c r="CZ20" s="556"/>
      <c r="DA20" s="556"/>
      <c r="DB20" s="556"/>
      <c r="DC20" s="556"/>
      <c r="DD20" s="556"/>
      <c r="DE20" s="557"/>
      <c r="DF20" s="586"/>
      <c r="DG20" s="587"/>
      <c r="DH20" s="587"/>
      <c r="DI20" s="587"/>
      <c r="DJ20" s="587"/>
      <c r="DK20" s="587"/>
      <c r="DL20" s="587"/>
      <c r="DM20" s="587"/>
      <c r="DN20" s="587"/>
      <c r="DO20" s="587"/>
      <c r="DP20" s="587"/>
      <c r="DQ20" s="587"/>
      <c r="DR20" s="588"/>
      <c r="DS20" s="586">
        <v>0</v>
      </c>
      <c r="DT20" s="587"/>
      <c r="DU20" s="587"/>
      <c r="DV20" s="587"/>
      <c r="DW20" s="587"/>
      <c r="DX20" s="587"/>
      <c r="DY20" s="587"/>
      <c r="DZ20" s="587"/>
      <c r="EA20" s="587"/>
      <c r="EB20" s="587"/>
      <c r="EC20" s="587"/>
      <c r="ED20" s="587"/>
      <c r="EE20" s="588"/>
      <c r="EF20" s="586">
        <v>0</v>
      </c>
      <c r="EG20" s="587"/>
      <c r="EH20" s="587"/>
      <c r="EI20" s="587"/>
      <c r="EJ20" s="587"/>
      <c r="EK20" s="587"/>
      <c r="EL20" s="587"/>
      <c r="EM20" s="587"/>
      <c r="EN20" s="587"/>
      <c r="EO20" s="587"/>
      <c r="EP20" s="587"/>
      <c r="EQ20" s="587"/>
      <c r="ER20" s="588"/>
      <c r="ES20" s="586"/>
      <c r="ET20" s="587"/>
      <c r="EU20" s="587"/>
      <c r="EV20" s="587"/>
      <c r="EW20" s="587"/>
      <c r="EX20" s="587"/>
      <c r="EY20" s="587"/>
      <c r="EZ20" s="587"/>
      <c r="FA20" s="587"/>
      <c r="FB20" s="587"/>
      <c r="FC20" s="587"/>
      <c r="FD20" s="587"/>
      <c r="FE20" s="589"/>
      <c r="FH20" s="251"/>
    </row>
    <row r="21" spans="1:164">
      <c r="A21" s="561" t="s">
        <v>169</v>
      </c>
      <c r="B21" s="561"/>
      <c r="C21" s="561"/>
      <c r="D21" s="561"/>
      <c r="E21" s="561"/>
      <c r="F21" s="561"/>
      <c r="G21" s="561"/>
      <c r="H21" s="562"/>
      <c r="I21" s="576" t="s">
        <v>170</v>
      </c>
      <c r="J21" s="577"/>
      <c r="K21" s="577"/>
      <c r="L21" s="577"/>
      <c r="M21" s="577"/>
      <c r="N21" s="577"/>
      <c r="O21" s="577"/>
      <c r="P21" s="577"/>
      <c r="Q21" s="577"/>
      <c r="R21" s="577"/>
      <c r="S21" s="577"/>
      <c r="T21" s="577"/>
      <c r="U21" s="577"/>
      <c r="V21" s="577"/>
      <c r="W21" s="577"/>
      <c r="X21" s="577"/>
      <c r="Y21" s="577"/>
      <c r="Z21" s="577"/>
      <c r="AA21" s="577"/>
      <c r="AB21" s="577"/>
      <c r="AC21" s="577"/>
      <c r="AD21" s="577"/>
      <c r="AE21" s="577"/>
      <c r="AF21" s="577"/>
      <c r="AG21" s="577"/>
      <c r="AH21" s="577"/>
      <c r="AI21" s="577"/>
      <c r="AJ21" s="577"/>
      <c r="AK21" s="577"/>
      <c r="AL21" s="577"/>
      <c r="AM21" s="577"/>
      <c r="AN21" s="577"/>
      <c r="AO21" s="577"/>
      <c r="AP21" s="577"/>
      <c r="AQ21" s="577"/>
      <c r="AR21" s="577"/>
      <c r="AS21" s="577"/>
      <c r="AT21" s="577"/>
      <c r="AU21" s="577"/>
      <c r="AV21" s="577"/>
      <c r="AW21" s="577"/>
      <c r="AX21" s="577"/>
      <c r="AY21" s="577"/>
      <c r="AZ21" s="577"/>
      <c r="BA21" s="577"/>
      <c r="BB21" s="577"/>
      <c r="BC21" s="577"/>
      <c r="BD21" s="577"/>
      <c r="BE21" s="577"/>
      <c r="BF21" s="577"/>
      <c r="BG21" s="577"/>
      <c r="BH21" s="577"/>
      <c r="BI21" s="577"/>
      <c r="BJ21" s="577"/>
      <c r="BK21" s="577"/>
      <c r="BL21" s="577"/>
      <c r="BM21" s="577"/>
      <c r="BN21" s="577"/>
      <c r="BO21" s="577"/>
      <c r="BP21" s="577"/>
      <c r="BQ21" s="577"/>
      <c r="BR21" s="577"/>
      <c r="BS21" s="577"/>
      <c r="BT21" s="577"/>
      <c r="BU21" s="577"/>
      <c r="BV21" s="577"/>
      <c r="BW21" s="577"/>
      <c r="BX21" s="577"/>
      <c r="BY21" s="577"/>
      <c r="BZ21" s="577"/>
      <c r="CA21" s="577"/>
      <c r="CB21" s="577"/>
      <c r="CC21" s="577"/>
      <c r="CD21" s="577"/>
      <c r="CE21" s="577"/>
      <c r="CF21" s="577"/>
      <c r="CG21" s="577"/>
      <c r="CH21" s="577"/>
      <c r="CI21" s="577"/>
      <c r="CJ21" s="577"/>
      <c r="CK21" s="577"/>
      <c r="CL21" s="577"/>
      <c r="CM21" s="577"/>
      <c r="CN21" s="565" t="s">
        <v>171</v>
      </c>
      <c r="CO21" s="561"/>
      <c r="CP21" s="561"/>
      <c r="CQ21" s="561"/>
      <c r="CR21" s="561"/>
      <c r="CS21" s="561"/>
      <c r="CT21" s="561"/>
      <c r="CU21" s="562"/>
      <c r="CV21" s="566" t="s">
        <v>21</v>
      </c>
      <c r="CW21" s="561"/>
      <c r="CX21" s="561"/>
      <c r="CY21" s="561"/>
      <c r="CZ21" s="561"/>
      <c r="DA21" s="561"/>
      <c r="DB21" s="561"/>
      <c r="DC21" s="561"/>
      <c r="DD21" s="561"/>
      <c r="DE21" s="562"/>
      <c r="DF21" s="573"/>
      <c r="DG21" s="574"/>
      <c r="DH21" s="574"/>
      <c r="DI21" s="574"/>
      <c r="DJ21" s="574"/>
      <c r="DK21" s="574"/>
      <c r="DL21" s="574"/>
      <c r="DM21" s="574"/>
      <c r="DN21" s="574"/>
      <c r="DO21" s="574"/>
      <c r="DP21" s="574"/>
      <c r="DQ21" s="574"/>
      <c r="DR21" s="575"/>
      <c r="DS21" s="573"/>
      <c r="DT21" s="574"/>
      <c r="DU21" s="574"/>
      <c r="DV21" s="574"/>
      <c r="DW21" s="574"/>
      <c r="DX21" s="574"/>
      <c r="DY21" s="574"/>
      <c r="DZ21" s="574"/>
      <c r="EA21" s="574"/>
      <c r="EB21" s="574"/>
      <c r="EC21" s="574"/>
      <c r="ED21" s="574"/>
      <c r="EE21" s="575"/>
      <c r="EF21" s="573"/>
      <c r="EG21" s="574"/>
      <c r="EH21" s="574"/>
      <c r="EI21" s="574"/>
      <c r="EJ21" s="574"/>
      <c r="EK21" s="574"/>
      <c r="EL21" s="574"/>
      <c r="EM21" s="574"/>
      <c r="EN21" s="574"/>
      <c r="EO21" s="574"/>
      <c r="EP21" s="574"/>
      <c r="EQ21" s="574"/>
      <c r="ER21" s="575"/>
      <c r="ES21" s="573"/>
      <c r="ET21" s="574"/>
      <c r="EU21" s="574"/>
      <c r="EV21" s="574"/>
      <c r="EW21" s="574"/>
      <c r="EX21" s="574"/>
      <c r="EY21" s="574"/>
      <c r="EZ21" s="574"/>
      <c r="FA21" s="574"/>
      <c r="FB21" s="574"/>
      <c r="FC21" s="574"/>
      <c r="FD21" s="574"/>
      <c r="FE21" s="590"/>
      <c r="FH21" s="251"/>
    </row>
    <row r="22" spans="1:164" ht="24" customHeight="1">
      <c r="A22" s="561" t="s">
        <v>12</v>
      </c>
      <c r="B22" s="561"/>
      <c r="C22" s="561"/>
      <c r="D22" s="561"/>
      <c r="E22" s="561"/>
      <c r="F22" s="561"/>
      <c r="G22" s="561"/>
      <c r="H22" s="562"/>
      <c r="I22" s="591" t="s">
        <v>172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  <c r="AC22" s="592"/>
      <c r="AD22" s="592"/>
      <c r="AE22" s="592"/>
      <c r="AF22" s="592"/>
      <c r="AG22" s="592"/>
      <c r="AH22" s="592"/>
      <c r="AI22" s="592"/>
      <c r="AJ22" s="592"/>
      <c r="AK22" s="592"/>
      <c r="AL22" s="592"/>
      <c r="AM22" s="592"/>
      <c r="AN22" s="592"/>
      <c r="AO22" s="592"/>
      <c r="AP22" s="592"/>
      <c r="AQ22" s="592"/>
      <c r="AR22" s="592"/>
      <c r="AS22" s="592"/>
      <c r="AT22" s="592"/>
      <c r="AU22" s="592"/>
      <c r="AV22" s="592"/>
      <c r="AW22" s="592"/>
      <c r="AX22" s="592"/>
      <c r="AY22" s="592"/>
      <c r="AZ22" s="592"/>
      <c r="BA22" s="592"/>
      <c r="BB22" s="592"/>
      <c r="BC22" s="592"/>
      <c r="BD22" s="592"/>
      <c r="BE22" s="592"/>
      <c r="BF22" s="592"/>
      <c r="BG22" s="592"/>
      <c r="BH22" s="592"/>
      <c r="BI22" s="592"/>
      <c r="BJ22" s="592"/>
      <c r="BK22" s="592"/>
      <c r="BL22" s="592"/>
      <c r="BM22" s="592"/>
      <c r="BN22" s="592"/>
      <c r="BO22" s="592"/>
      <c r="BP22" s="592"/>
      <c r="BQ22" s="592"/>
      <c r="BR22" s="592"/>
      <c r="BS22" s="592"/>
      <c r="BT22" s="592"/>
      <c r="BU22" s="592"/>
      <c r="BV22" s="592"/>
      <c r="BW22" s="592"/>
      <c r="BX22" s="592"/>
      <c r="BY22" s="592"/>
      <c r="BZ22" s="592"/>
      <c r="CA22" s="592"/>
      <c r="CB22" s="592"/>
      <c r="CC22" s="592"/>
      <c r="CD22" s="592"/>
      <c r="CE22" s="592"/>
      <c r="CF22" s="592"/>
      <c r="CG22" s="592"/>
      <c r="CH22" s="592"/>
      <c r="CI22" s="592"/>
      <c r="CJ22" s="592"/>
      <c r="CK22" s="592"/>
      <c r="CL22" s="592"/>
      <c r="CM22" s="592"/>
      <c r="CN22" s="565" t="s">
        <v>173</v>
      </c>
      <c r="CO22" s="561"/>
      <c r="CP22" s="561"/>
      <c r="CQ22" s="561"/>
      <c r="CR22" s="561"/>
      <c r="CS22" s="561"/>
      <c r="CT22" s="561"/>
      <c r="CU22" s="562"/>
      <c r="CV22" s="566" t="s">
        <v>21</v>
      </c>
      <c r="CW22" s="561"/>
      <c r="CX22" s="561"/>
      <c r="CY22" s="561"/>
      <c r="CZ22" s="561"/>
      <c r="DA22" s="561"/>
      <c r="DB22" s="561"/>
      <c r="DC22" s="561"/>
      <c r="DD22" s="561"/>
      <c r="DE22" s="562"/>
      <c r="DF22" s="567">
        <f>DF23+DF25+DF26</f>
        <v>0</v>
      </c>
      <c r="DG22" s="568"/>
      <c r="DH22" s="568"/>
      <c r="DI22" s="568"/>
      <c r="DJ22" s="568"/>
      <c r="DK22" s="568"/>
      <c r="DL22" s="568"/>
      <c r="DM22" s="568"/>
      <c r="DN22" s="568"/>
      <c r="DO22" s="568"/>
      <c r="DP22" s="568"/>
      <c r="DQ22" s="568"/>
      <c r="DR22" s="569"/>
      <c r="DS22" s="567">
        <f>DS23+DS25+DS26</f>
        <v>0</v>
      </c>
      <c r="DT22" s="568"/>
      <c r="DU22" s="568"/>
      <c r="DV22" s="568"/>
      <c r="DW22" s="568"/>
      <c r="DX22" s="568"/>
      <c r="DY22" s="568"/>
      <c r="DZ22" s="568"/>
      <c r="EA22" s="568"/>
      <c r="EB22" s="568"/>
      <c r="EC22" s="568"/>
      <c r="ED22" s="568"/>
      <c r="EE22" s="569"/>
      <c r="EF22" s="567">
        <f>EF23+EF25+EF26</f>
        <v>0</v>
      </c>
      <c r="EG22" s="568"/>
      <c r="EH22" s="568"/>
      <c r="EI22" s="568"/>
      <c r="EJ22" s="568"/>
      <c r="EK22" s="568"/>
      <c r="EL22" s="568"/>
      <c r="EM22" s="568"/>
      <c r="EN22" s="568"/>
      <c r="EO22" s="568"/>
      <c r="EP22" s="568"/>
      <c r="EQ22" s="568"/>
      <c r="ER22" s="569"/>
      <c r="ES22" s="567">
        <f>ES23+ES25+ES26</f>
        <v>0</v>
      </c>
      <c r="ET22" s="568"/>
      <c r="EU22" s="568"/>
      <c r="EV22" s="568"/>
      <c r="EW22" s="568"/>
      <c r="EX22" s="568"/>
      <c r="EY22" s="568"/>
      <c r="EZ22" s="568"/>
      <c r="FA22" s="568"/>
      <c r="FB22" s="568"/>
      <c r="FC22" s="568"/>
      <c r="FD22" s="568"/>
      <c r="FE22" s="569"/>
    </row>
    <row r="23" spans="1:164">
      <c r="A23" s="593"/>
      <c r="B23" s="593"/>
      <c r="C23" s="593"/>
      <c r="D23" s="593"/>
      <c r="E23" s="593"/>
      <c r="F23" s="593"/>
      <c r="G23" s="593"/>
      <c r="H23" s="594"/>
      <c r="I23" s="597" t="s">
        <v>174</v>
      </c>
      <c r="J23" s="598"/>
      <c r="K23" s="598"/>
      <c r="L23" s="598"/>
      <c r="M23" s="598"/>
      <c r="N23" s="598"/>
      <c r="O23" s="598"/>
      <c r="P23" s="598"/>
      <c r="Q23" s="598"/>
      <c r="R23" s="598"/>
      <c r="S23" s="598"/>
      <c r="T23" s="598"/>
      <c r="U23" s="598"/>
      <c r="V23" s="598"/>
      <c r="W23" s="598"/>
      <c r="X23" s="598"/>
      <c r="Y23" s="598"/>
      <c r="Z23" s="598"/>
      <c r="AA23" s="598"/>
      <c r="AB23" s="598"/>
      <c r="AC23" s="598"/>
      <c r="AD23" s="598"/>
      <c r="AE23" s="598"/>
      <c r="AF23" s="598"/>
      <c r="AG23" s="598"/>
      <c r="AH23" s="598"/>
      <c r="AI23" s="598"/>
      <c r="AJ23" s="598"/>
      <c r="AK23" s="598"/>
      <c r="AL23" s="598"/>
      <c r="AM23" s="598"/>
      <c r="AN23" s="598"/>
      <c r="AO23" s="598"/>
      <c r="AP23" s="598"/>
      <c r="AQ23" s="598"/>
      <c r="AR23" s="598"/>
      <c r="AS23" s="598"/>
      <c r="AT23" s="598"/>
      <c r="AU23" s="598"/>
      <c r="AV23" s="598"/>
      <c r="AW23" s="598"/>
      <c r="AX23" s="598"/>
      <c r="AY23" s="598"/>
      <c r="AZ23" s="598"/>
      <c r="BA23" s="598"/>
      <c r="BB23" s="598"/>
      <c r="BC23" s="598"/>
      <c r="BD23" s="598"/>
      <c r="BE23" s="598"/>
      <c r="BF23" s="598"/>
      <c r="BG23" s="598"/>
      <c r="BH23" s="598"/>
      <c r="BI23" s="598"/>
      <c r="BJ23" s="598"/>
      <c r="BK23" s="598"/>
      <c r="BL23" s="598"/>
      <c r="BM23" s="598"/>
      <c r="BN23" s="598"/>
      <c r="BO23" s="598"/>
      <c r="BP23" s="598"/>
      <c r="BQ23" s="598"/>
      <c r="BR23" s="598"/>
      <c r="BS23" s="598"/>
      <c r="BT23" s="598"/>
      <c r="BU23" s="598"/>
      <c r="BV23" s="598"/>
      <c r="BW23" s="598"/>
      <c r="BX23" s="598"/>
      <c r="BY23" s="598"/>
      <c r="BZ23" s="598"/>
      <c r="CA23" s="598"/>
      <c r="CB23" s="598"/>
      <c r="CC23" s="598"/>
      <c r="CD23" s="598"/>
      <c r="CE23" s="598"/>
      <c r="CF23" s="598"/>
      <c r="CG23" s="598"/>
      <c r="CH23" s="598"/>
      <c r="CI23" s="598"/>
      <c r="CJ23" s="598"/>
      <c r="CK23" s="598"/>
      <c r="CL23" s="598"/>
      <c r="CM23" s="599"/>
      <c r="CN23" s="600" t="s">
        <v>175</v>
      </c>
      <c r="CO23" s="593"/>
      <c r="CP23" s="593"/>
      <c r="CQ23" s="593"/>
      <c r="CR23" s="593"/>
      <c r="CS23" s="593"/>
      <c r="CT23" s="593"/>
      <c r="CU23" s="594"/>
      <c r="CV23" s="602"/>
      <c r="CW23" s="593"/>
      <c r="CX23" s="593"/>
      <c r="CY23" s="593"/>
      <c r="CZ23" s="593"/>
      <c r="DA23" s="593"/>
      <c r="DB23" s="593"/>
      <c r="DC23" s="593"/>
      <c r="DD23" s="593"/>
      <c r="DE23" s="594"/>
      <c r="DF23" s="604"/>
      <c r="DG23" s="605"/>
      <c r="DH23" s="605"/>
      <c r="DI23" s="605"/>
      <c r="DJ23" s="605"/>
      <c r="DK23" s="605"/>
      <c r="DL23" s="605"/>
      <c r="DM23" s="605"/>
      <c r="DN23" s="605"/>
      <c r="DO23" s="605"/>
      <c r="DP23" s="605"/>
      <c r="DQ23" s="605"/>
      <c r="DR23" s="606"/>
      <c r="DS23" s="604"/>
      <c r="DT23" s="605"/>
      <c r="DU23" s="605"/>
      <c r="DV23" s="605"/>
      <c r="DW23" s="605"/>
      <c r="DX23" s="605"/>
      <c r="DY23" s="605"/>
      <c r="DZ23" s="605"/>
      <c r="EA23" s="605"/>
      <c r="EB23" s="605"/>
      <c r="EC23" s="605"/>
      <c r="ED23" s="605"/>
      <c r="EE23" s="606"/>
      <c r="EF23" s="604"/>
      <c r="EG23" s="605"/>
      <c r="EH23" s="605"/>
      <c r="EI23" s="605"/>
      <c r="EJ23" s="605"/>
      <c r="EK23" s="605"/>
      <c r="EL23" s="605"/>
      <c r="EM23" s="605"/>
      <c r="EN23" s="605"/>
      <c r="EO23" s="605"/>
      <c r="EP23" s="605"/>
      <c r="EQ23" s="605"/>
      <c r="ER23" s="606"/>
      <c r="ES23" s="604"/>
      <c r="ET23" s="605"/>
      <c r="EU23" s="605"/>
      <c r="EV23" s="605"/>
      <c r="EW23" s="605"/>
      <c r="EX23" s="605"/>
      <c r="EY23" s="605"/>
      <c r="EZ23" s="605"/>
      <c r="FA23" s="605"/>
      <c r="FB23" s="605"/>
      <c r="FC23" s="605"/>
      <c r="FD23" s="605"/>
      <c r="FE23" s="610"/>
    </row>
    <row r="24" spans="1:164">
      <c r="A24" s="595"/>
      <c r="B24" s="595"/>
      <c r="C24" s="595"/>
      <c r="D24" s="595"/>
      <c r="E24" s="595"/>
      <c r="F24" s="595"/>
      <c r="G24" s="595"/>
      <c r="H24" s="596"/>
      <c r="I24" s="612"/>
      <c r="J24" s="613"/>
      <c r="K24" s="613"/>
      <c r="L24" s="613"/>
      <c r="M24" s="613"/>
      <c r="N24" s="613"/>
      <c r="O24" s="613"/>
      <c r="P24" s="613"/>
      <c r="Q24" s="613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13"/>
      <c r="AI24" s="613"/>
      <c r="AJ24" s="613"/>
      <c r="AK24" s="613"/>
      <c r="AL24" s="613"/>
      <c r="AM24" s="613"/>
      <c r="AN24" s="613"/>
      <c r="AO24" s="613"/>
      <c r="AP24" s="613"/>
      <c r="AQ24" s="613"/>
      <c r="AR24" s="613"/>
      <c r="AS24" s="613"/>
      <c r="AT24" s="613"/>
      <c r="AU24" s="613"/>
      <c r="AV24" s="613"/>
      <c r="AW24" s="613"/>
      <c r="AX24" s="613"/>
      <c r="AY24" s="613"/>
      <c r="AZ24" s="613"/>
      <c r="BA24" s="613"/>
      <c r="BB24" s="613"/>
      <c r="BC24" s="613"/>
      <c r="BD24" s="613"/>
      <c r="BE24" s="613"/>
      <c r="BF24" s="613"/>
      <c r="BG24" s="613"/>
      <c r="BH24" s="613"/>
      <c r="BI24" s="613"/>
      <c r="BJ24" s="613"/>
      <c r="BK24" s="613"/>
      <c r="BL24" s="613"/>
      <c r="BM24" s="613"/>
      <c r="BN24" s="613"/>
      <c r="BO24" s="613"/>
      <c r="BP24" s="613"/>
      <c r="BQ24" s="613"/>
      <c r="BR24" s="613"/>
      <c r="BS24" s="613"/>
      <c r="BT24" s="613"/>
      <c r="BU24" s="613"/>
      <c r="BV24" s="613"/>
      <c r="BW24" s="613"/>
      <c r="BX24" s="613"/>
      <c r="BY24" s="613"/>
      <c r="BZ24" s="613"/>
      <c r="CA24" s="613"/>
      <c r="CB24" s="613"/>
      <c r="CC24" s="613"/>
      <c r="CD24" s="613"/>
      <c r="CE24" s="613"/>
      <c r="CF24" s="613"/>
      <c r="CG24" s="613"/>
      <c r="CH24" s="613"/>
      <c r="CI24" s="613"/>
      <c r="CJ24" s="613"/>
      <c r="CK24" s="613"/>
      <c r="CL24" s="613"/>
      <c r="CM24" s="613"/>
      <c r="CN24" s="601"/>
      <c r="CO24" s="595"/>
      <c r="CP24" s="595"/>
      <c r="CQ24" s="595"/>
      <c r="CR24" s="595"/>
      <c r="CS24" s="595"/>
      <c r="CT24" s="595"/>
      <c r="CU24" s="596"/>
      <c r="CV24" s="603"/>
      <c r="CW24" s="595"/>
      <c r="CX24" s="595"/>
      <c r="CY24" s="595"/>
      <c r="CZ24" s="595"/>
      <c r="DA24" s="595"/>
      <c r="DB24" s="595"/>
      <c r="DC24" s="595"/>
      <c r="DD24" s="595"/>
      <c r="DE24" s="596"/>
      <c r="DF24" s="607"/>
      <c r="DG24" s="608"/>
      <c r="DH24" s="608"/>
      <c r="DI24" s="608"/>
      <c r="DJ24" s="608"/>
      <c r="DK24" s="608"/>
      <c r="DL24" s="608"/>
      <c r="DM24" s="608"/>
      <c r="DN24" s="608"/>
      <c r="DO24" s="608"/>
      <c r="DP24" s="608"/>
      <c r="DQ24" s="608"/>
      <c r="DR24" s="609"/>
      <c r="DS24" s="607"/>
      <c r="DT24" s="608"/>
      <c r="DU24" s="608"/>
      <c r="DV24" s="608"/>
      <c r="DW24" s="608"/>
      <c r="DX24" s="608"/>
      <c r="DY24" s="608"/>
      <c r="DZ24" s="608"/>
      <c r="EA24" s="608"/>
      <c r="EB24" s="608"/>
      <c r="EC24" s="608"/>
      <c r="ED24" s="608"/>
      <c r="EE24" s="609"/>
      <c r="EF24" s="607"/>
      <c r="EG24" s="608"/>
      <c r="EH24" s="608"/>
      <c r="EI24" s="608"/>
      <c r="EJ24" s="608"/>
      <c r="EK24" s="608"/>
      <c r="EL24" s="608"/>
      <c r="EM24" s="608"/>
      <c r="EN24" s="608"/>
      <c r="EO24" s="608"/>
      <c r="EP24" s="608"/>
      <c r="EQ24" s="608"/>
      <c r="ER24" s="609"/>
      <c r="ES24" s="607"/>
      <c r="ET24" s="608"/>
      <c r="EU24" s="608"/>
      <c r="EV24" s="608"/>
      <c r="EW24" s="608"/>
      <c r="EX24" s="608"/>
      <c r="EY24" s="608"/>
      <c r="EZ24" s="608"/>
      <c r="FA24" s="608"/>
      <c r="FB24" s="608"/>
      <c r="FC24" s="608"/>
      <c r="FD24" s="608"/>
      <c r="FE24" s="611"/>
    </row>
    <row r="25" spans="1:164" ht="24" customHeight="1">
      <c r="A25" s="561" t="s">
        <v>13</v>
      </c>
      <c r="B25" s="561"/>
      <c r="C25" s="561"/>
      <c r="D25" s="561"/>
      <c r="E25" s="561"/>
      <c r="F25" s="561"/>
      <c r="G25" s="561"/>
      <c r="H25" s="562"/>
      <c r="I25" s="591" t="s">
        <v>176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  <c r="AC25" s="592"/>
      <c r="AD25" s="592"/>
      <c r="AE25" s="592"/>
      <c r="AF25" s="592"/>
      <c r="AG25" s="592"/>
      <c r="AH25" s="592"/>
      <c r="AI25" s="592"/>
      <c r="AJ25" s="592"/>
      <c r="AK25" s="592"/>
      <c r="AL25" s="592"/>
      <c r="AM25" s="592"/>
      <c r="AN25" s="592"/>
      <c r="AO25" s="592"/>
      <c r="AP25" s="592"/>
      <c r="AQ25" s="592"/>
      <c r="AR25" s="592"/>
      <c r="AS25" s="592"/>
      <c r="AT25" s="592"/>
      <c r="AU25" s="592"/>
      <c r="AV25" s="592"/>
      <c r="AW25" s="592"/>
      <c r="AX25" s="592"/>
      <c r="AY25" s="592"/>
      <c r="AZ25" s="592"/>
      <c r="BA25" s="592"/>
      <c r="BB25" s="592"/>
      <c r="BC25" s="592"/>
      <c r="BD25" s="592"/>
      <c r="BE25" s="592"/>
      <c r="BF25" s="592"/>
      <c r="BG25" s="592"/>
      <c r="BH25" s="592"/>
      <c r="BI25" s="592"/>
      <c r="BJ25" s="592"/>
      <c r="BK25" s="592"/>
      <c r="BL25" s="592"/>
      <c r="BM25" s="592"/>
      <c r="BN25" s="592"/>
      <c r="BO25" s="592"/>
      <c r="BP25" s="592"/>
      <c r="BQ25" s="592"/>
      <c r="BR25" s="592"/>
      <c r="BS25" s="592"/>
      <c r="BT25" s="592"/>
      <c r="BU25" s="592"/>
      <c r="BV25" s="592"/>
      <c r="BW25" s="592"/>
      <c r="BX25" s="592"/>
      <c r="BY25" s="592"/>
      <c r="BZ25" s="592"/>
      <c r="CA25" s="592"/>
      <c r="CB25" s="592"/>
      <c r="CC25" s="592"/>
      <c r="CD25" s="592"/>
      <c r="CE25" s="592"/>
      <c r="CF25" s="592"/>
      <c r="CG25" s="592"/>
      <c r="CH25" s="592"/>
      <c r="CI25" s="592"/>
      <c r="CJ25" s="592"/>
      <c r="CK25" s="592"/>
      <c r="CL25" s="592"/>
      <c r="CM25" s="592"/>
      <c r="CN25" s="565" t="s">
        <v>177</v>
      </c>
      <c r="CO25" s="561"/>
      <c r="CP25" s="561"/>
      <c r="CQ25" s="561"/>
      <c r="CR25" s="561"/>
      <c r="CS25" s="561"/>
      <c r="CT25" s="561"/>
      <c r="CU25" s="562"/>
      <c r="CV25" s="566" t="s">
        <v>21</v>
      </c>
      <c r="CW25" s="561"/>
      <c r="CX25" s="561"/>
      <c r="CY25" s="561"/>
      <c r="CZ25" s="561"/>
      <c r="DA25" s="561"/>
      <c r="DB25" s="561"/>
      <c r="DC25" s="561"/>
      <c r="DD25" s="561"/>
      <c r="DE25" s="562"/>
      <c r="DF25" s="573"/>
      <c r="DG25" s="574"/>
      <c r="DH25" s="574"/>
      <c r="DI25" s="574"/>
      <c r="DJ25" s="574"/>
      <c r="DK25" s="574"/>
      <c r="DL25" s="574"/>
      <c r="DM25" s="574"/>
      <c r="DN25" s="574"/>
      <c r="DO25" s="574"/>
      <c r="DP25" s="574"/>
      <c r="DQ25" s="574"/>
      <c r="DR25" s="575"/>
      <c r="DS25" s="573"/>
      <c r="DT25" s="574"/>
      <c r="DU25" s="574"/>
      <c r="DV25" s="574"/>
      <c r="DW25" s="574"/>
      <c r="DX25" s="574"/>
      <c r="DY25" s="574"/>
      <c r="DZ25" s="574"/>
      <c r="EA25" s="574"/>
      <c r="EB25" s="574"/>
      <c r="EC25" s="574"/>
      <c r="ED25" s="574"/>
      <c r="EE25" s="575"/>
      <c r="EF25" s="573"/>
      <c r="EG25" s="574"/>
      <c r="EH25" s="574"/>
      <c r="EI25" s="574"/>
      <c r="EJ25" s="574"/>
      <c r="EK25" s="574"/>
      <c r="EL25" s="574"/>
      <c r="EM25" s="574"/>
      <c r="EN25" s="574"/>
      <c r="EO25" s="574"/>
      <c r="EP25" s="574"/>
      <c r="EQ25" s="574"/>
      <c r="ER25" s="575"/>
      <c r="ES25" s="573"/>
      <c r="ET25" s="574"/>
      <c r="EU25" s="574"/>
      <c r="EV25" s="574"/>
      <c r="EW25" s="574"/>
      <c r="EX25" s="574"/>
      <c r="EY25" s="574"/>
      <c r="EZ25" s="574"/>
      <c r="FA25" s="574"/>
      <c r="FB25" s="574"/>
      <c r="FC25" s="574"/>
      <c r="FD25" s="574"/>
      <c r="FE25" s="590"/>
    </row>
    <row r="26" spans="1:164">
      <c r="A26" s="593"/>
      <c r="B26" s="593"/>
      <c r="C26" s="593"/>
      <c r="D26" s="593"/>
      <c r="E26" s="593"/>
      <c r="F26" s="593"/>
      <c r="G26" s="593"/>
      <c r="H26" s="594"/>
      <c r="I26" s="597" t="s">
        <v>174</v>
      </c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98"/>
      <c r="AJ26" s="598"/>
      <c r="AK26" s="598"/>
      <c r="AL26" s="598"/>
      <c r="AM26" s="598"/>
      <c r="AN26" s="598"/>
      <c r="AO26" s="598"/>
      <c r="AP26" s="598"/>
      <c r="AQ26" s="598"/>
      <c r="AR26" s="598"/>
      <c r="AS26" s="598"/>
      <c r="AT26" s="598"/>
      <c r="AU26" s="598"/>
      <c r="AV26" s="598"/>
      <c r="AW26" s="598"/>
      <c r="AX26" s="598"/>
      <c r="AY26" s="598"/>
      <c r="AZ26" s="598"/>
      <c r="BA26" s="598"/>
      <c r="BB26" s="598"/>
      <c r="BC26" s="598"/>
      <c r="BD26" s="598"/>
      <c r="BE26" s="598"/>
      <c r="BF26" s="598"/>
      <c r="BG26" s="598"/>
      <c r="BH26" s="598"/>
      <c r="BI26" s="598"/>
      <c r="BJ26" s="598"/>
      <c r="BK26" s="598"/>
      <c r="BL26" s="598"/>
      <c r="BM26" s="598"/>
      <c r="BN26" s="598"/>
      <c r="BO26" s="598"/>
      <c r="BP26" s="598"/>
      <c r="BQ26" s="598"/>
      <c r="BR26" s="598"/>
      <c r="BS26" s="598"/>
      <c r="BT26" s="598"/>
      <c r="BU26" s="598"/>
      <c r="BV26" s="598"/>
      <c r="BW26" s="598"/>
      <c r="BX26" s="598"/>
      <c r="BY26" s="598"/>
      <c r="BZ26" s="598"/>
      <c r="CA26" s="598"/>
      <c r="CB26" s="598"/>
      <c r="CC26" s="598"/>
      <c r="CD26" s="598"/>
      <c r="CE26" s="598"/>
      <c r="CF26" s="598"/>
      <c r="CG26" s="598"/>
      <c r="CH26" s="598"/>
      <c r="CI26" s="598"/>
      <c r="CJ26" s="598"/>
      <c r="CK26" s="598"/>
      <c r="CL26" s="598"/>
      <c r="CM26" s="599"/>
      <c r="CN26" s="600" t="s">
        <v>178</v>
      </c>
      <c r="CO26" s="593"/>
      <c r="CP26" s="593"/>
      <c r="CQ26" s="593"/>
      <c r="CR26" s="593"/>
      <c r="CS26" s="593"/>
      <c r="CT26" s="593"/>
      <c r="CU26" s="594"/>
      <c r="CV26" s="602"/>
      <c r="CW26" s="593"/>
      <c r="CX26" s="593"/>
      <c r="CY26" s="593"/>
      <c r="CZ26" s="593"/>
      <c r="DA26" s="593"/>
      <c r="DB26" s="593"/>
      <c r="DC26" s="593"/>
      <c r="DD26" s="593"/>
      <c r="DE26" s="594"/>
      <c r="DF26" s="604"/>
      <c r="DG26" s="605"/>
      <c r="DH26" s="605"/>
      <c r="DI26" s="605"/>
      <c r="DJ26" s="605"/>
      <c r="DK26" s="605"/>
      <c r="DL26" s="605"/>
      <c r="DM26" s="605"/>
      <c r="DN26" s="605"/>
      <c r="DO26" s="605"/>
      <c r="DP26" s="605"/>
      <c r="DQ26" s="605"/>
      <c r="DR26" s="606"/>
      <c r="DS26" s="604"/>
      <c r="DT26" s="605"/>
      <c r="DU26" s="605"/>
      <c r="DV26" s="605"/>
      <c r="DW26" s="605"/>
      <c r="DX26" s="605"/>
      <c r="DY26" s="605"/>
      <c r="DZ26" s="605"/>
      <c r="EA26" s="605"/>
      <c r="EB26" s="605"/>
      <c r="EC26" s="605"/>
      <c r="ED26" s="605"/>
      <c r="EE26" s="606"/>
      <c r="EF26" s="604"/>
      <c r="EG26" s="605"/>
      <c r="EH26" s="605"/>
      <c r="EI26" s="605"/>
      <c r="EJ26" s="605"/>
      <c r="EK26" s="605"/>
      <c r="EL26" s="605"/>
      <c r="EM26" s="605"/>
      <c r="EN26" s="605"/>
      <c r="EO26" s="605"/>
      <c r="EP26" s="605"/>
      <c r="EQ26" s="605"/>
      <c r="ER26" s="606"/>
      <c r="ES26" s="604"/>
      <c r="ET26" s="605"/>
      <c r="EU26" s="605"/>
      <c r="EV26" s="605"/>
      <c r="EW26" s="605"/>
      <c r="EX26" s="605"/>
      <c r="EY26" s="605"/>
      <c r="EZ26" s="605"/>
      <c r="FA26" s="605"/>
      <c r="FB26" s="605"/>
      <c r="FC26" s="605"/>
      <c r="FD26" s="605"/>
      <c r="FE26" s="610"/>
    </row>
    <row r="27" spans="1:164" ht="12" thickBot="1">
      <c r="A27" s="595"/>
      <c r="B27" s="595"/>
      <c r="C27" s="595"/>
      <c r="D27" s="595"/>
      <c r="E27" s="595"/>
      <c r="F27" s="595"/>
      <c r="G27" s="595"/>
      <c r="H27" s="596"/>
      <c r="I27" s="612"/>
      <c r="J27" s="613"/>
      <c r="K27" s="613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3"/>
      <c r="AQ27" s="613"/>
      <c r="AR27" s="613"/>
      <c r="AS27" s="613"/>
      <c r="AT27" s="613"/>
      <c r="AU27" s="613"/>
      <c r="AV27" s="613"/>
      <c r="AW27" s="613"/>
      <c r="AX27" s="613"/>
      <c r="AY27" s="613"/>
      <c r="AZ27" s="613"/>
      <c r="BA27" s="613"/>
      <c r="BB27" s="613"/>
      <c r="BC27" s="613"/>
      <c r="BD27" s="613"/>
      <c r="BE27" s="613"/>
      <c r="BF27" s="613"/>
      <c r="BG27" s="613"/>
      <c r="BH27" s="613"/>
      <c r="BI27" s="613"/>
      <c r="BJ27" s="613"/>
      <c r="BK27" s="613"/>
      <c r="BL27" s="613"/>
      <c r="BM27" s="613"/>
      <c r="BN27" s="613"/>
      <c r="BO27" s="613"/>
      <c r="BP27" s="613"/>
      <c r="BQ27" s="613"/>
      <c r="BR27" s="613"/>
      <c r="BS27" s="613"/>
      <c r="BT27" s="613"/>
      <c r="BU27" s="613"/>
      <c r="BV27" s="613"/>
      <c r="BW27" s="613"/>
      <c r="BX27" s="613"/>
      <c r="BY27" s="613"/>
      <c r="BZ27" s="613"/>
      <c r="CA27" s="613"/>
      <c r="CB27" s="613"/>
      <c r="CC27" s="613"/>
      <c r="CD27" s="613"/>
      <c r="CE27" s="613"/>
      <c r="CF27" s="613"/>
      <c r="CG27" s="613"/>
      <c r="CH27" s="613"/>
      <c r="CI27" s="613"/>
      <c r="CJ27" s="613"/>
      <c r="CK27" s="613"/>
      <c r="CL27" s="613"/>
      <c r="CM27" s="613"/>
      <c r="CN27" s="620"/>
      <c r="CO27" s="621"/>
      <c r="CP27" s="621"/>
      <c r="CQ27" s="621"/>
      <c r="CR27" s="621"/>
      <c r="CS27" s="621"/>
      <c r="CT27" s="621"/>
      <c r="CU27" s="622"/>
      <c r="CV27" s="623"/>
      <c r="CW27" s="621"/>
      <c r="CX27" s="621"/>
      <c r="CY27" s="621"/>
      <c r="CZ27" s="621"/>
      <c r="DA27" s="621"/>
      <c r="DB27" s="621"/>
      <c r="DC27" s="621"/>
      <c r="DD27" s="621"/>
      <c r="DE27" s="622"/>
      <c r="DF27" s="624"/>
      <c r="DG27" s="625"/>
      <c r="DH27" s="625"/>
      <c r="DI27" s="625"/>
      <c r="DJ27" s="625"/>
      <c r="DK27" s="625"/>
      <c r="DL27" s="625"/>
      <c r="DM27" s="625"/>
      <c r="DN27" s="625"/>
      <c r="DO27" s="625"/>
      <c r="DP27" s="625"/>
      <c r="DQ27" s="625"/>
      <c r="DR27" s="626"/>
      <c r="DS27" s="624"/>
      <c r="DT27" s="625"/>
      <c r="DU27" s="625"/>
      <c r="DV27" s="625"/>
      <c r="DW27" s="625"/>
      <c r="DX27" s="625"/>
      <c r="DY27" s="625"/>
      <c r="DZ27" s="625"/>
      <c r="EA27" s="625"/>
      <c r="EB27" s="625"/>
      <c r="EC27" s="625"/>
      <c r="ED27" s="625"/>
      <c r="EE27" s="626"/>
      <c r="EF27" s="624"/>
      <c r="EG27" s="625"/>
      <c r="EH27" s="625"/>
      <c r="EI27" s="625"/>
      <c r="EJ27" s="625"/>
      <c r="EK27" s="625"/>
      <c r="EL27" s="625"/>
      <c r="EM27" s="625"/>
      <c r="EN27" s="625"/>
      <c r="EO27" s="625"/>
      <c r="EP27" s="625"/>
      <c r="EQ27" s="625"/>
      <c r="ER27" s="626"/>
      <c r="ES27" s="624"/>
      <c r="ET27" s="625"/>
      <c r="EU27" s="625"/>
      <c r="EV27" s="625"/>
      <c r="EW27" s="625"/>
      <c r="EX27" s="625"/>
      <c r="EY27" s="625"/>
      <c r="EZ27" s="625"/>
      <c r="FA27" s="625"/>
      <c r="FB27" s="625"/>
      <c r="FC27" s="625"/>
      <c r="FD27" s="625"/>
      <c r="FE27" s="630"/>
    </row>
    <row r="29" spans="1:164">
      <c r="I29" s="98" t="s">
        <v>179</v>
      </c>
    </row>
    <row r="30" spans="1:164">
      <c r="I30" s="98" t="s">
        <v>180</v>
      </c>
      <c r="AQ30" s="615" t="s">
        <v>401</v>
      </c>
      <c r="AR30" s="615"/>
      <c r="AS30" s="615"/>
      <c r="AT30" s="615"/>
      <c r="AU30" s="615"/>
      <c r="AV30" s="615"/>
      <c r="AW30" s="615"/>
      <c r="AX30" s="615"/>
      <c r="AY30" s="615"/>
      <c r="AZ30" s="615"/>
      <c r="BA30" s="615"/>
      <c r="BB30" s="615"/>
      <c r="BC30" s="615"/>
      <c r="BD30" s="615"/>
      <c r="BE30" s="615"/>
      <c r="BF30" s="615"/>
      <c r="BG30" s="615"/>
      <c r="BH30" s="615"/>
      <c r="BK30" s="615"/>
      <c r="BL30" s="615"/>
      <c r="BM30" s="615"/>
      <c r="BN30" s="615"/>
      <c r="BO30" s="615"/>
      <c r="BP30" s="615"/>
      <c r="BQ30" s="615"/>
      <c r="BR30" s="615"/>
      <c r="BS30" s="615"/>
      <c r="BT30" s="615"/>
      <c r="BU30" s="615"/>
      <c r="BV30" s="615"/>
      <c r="BY30" s="615" t="s">
        <v>505</v>
      </c>
      <c r="BZ30" s="615"/>
      <c r="CA30" s="615"/>
      <c r="CB30" s="615"/>
      <c r="CC30" s="615"/>
      <c r="CD30" s="615"/>
      <c r="CE30" s="615"/>
      <c r="CF30" s="615"/>
      <c r="CG30" s="615"/>
      <c r="CH30" s="615"/>
      <c r="CI30" s="615"/>
      <c r="CJ30" s="615"/>
      <c r="CK30" s="615"/>
      <c r="CL30" s="615"/>
      <c r="CM30" s="615"/>
      <c r="CN30" s="615"/>
      <c r="CO30" s="615"/>
      <c r="CP30" s="615"/>
      <c r="CQ30" s="615"/>
      <c r="CR30" s="615"/>
    </row>
    <row r="31" spans="1:164" s="20" customFormat="1" ht="8.25">
      <c r="AQ31" s="618" t="s">
        <v>181</v>
      </c>
      <c r="AR31" s="618"/>
      <c r="AS31" s="618"/>
      <c r="AT31" s="618"/>
      <c r="AU31" s="618"/>
      <c r="AV31" s="618"/>
      <c r="AW31" s="618"/>
      <c r="AX31" s="618"/>
      <c r="AY31" s="618"/>
      <c r="AZ31" s="618"/>
      <c r="BA31" s="618"/>
      <c r="BB31" s="618"/>
      <c r="BC31" s="618"/>
      <c r="BD31" s="618"/>
      <c r="BE31" s="618"/>
      <c r="BF31" s="618"/>
      <c r="BG31" s="618"/>
      <c r="BH31" s="618"/>
      <c r="BK31" s="618" t="s">
        <v>120</v>
      </c>
      <c r="BL31" s="618"/>
      <c r="BM31" s="618"/>
      <c r="BN31" s="618"/>
      <c r="BO31" s="618"/>
      <c r="BP31" s="618"/>
      <c r="BQ31" s="618"/>
      <c r="BR31" s="618"/>
      <c r="BS31" s="618"/>
      <c r="BT31" s="618"/>
      <c r="BU31" s="618"/>
      <c r="BV31" s="618"/>
      <c r="BY31" s="618" t="s">
        <v>121</v>
      </c>
      <c r="BZ31" s="618"/>
      <c r="CA31" s="618"/>
      <c r="CB31" s="618"/>
      <c r="CC31" s="618"/>
      <c r="CD31" s="618"/>
      <c r="CE31" s="618"/>
      <c r="CF31" s="618"/>
      <c r="CG31" s="618"/>
      <c r="CH31" s="618"/>
      <c r="CI31" s="618"/>
      <c r="CJ31" s="618"/>
      <c r="CK31" s="618"/>
      <c r="CL31" s="618"/>
      <c r="CM31" s="618"/>
      <c r="CN31" s="618"/>
      <c r="CO31" s="618"/>
      <c r="CP31" s="618"/>
      <c r="CQ31" s="618"/>
      <c r="CR31" s="618"/>
    </row>
    <row r="32" spans="1:164" s="20" customFormat="1" ht="3" customHeight="1"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</row>
    <row r="33" spans="1:118" ht="22.5" customHeight="1">
      <c r="I33" s="98" t="s">
        <v>182</v>
      </c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329"/>
      <c r="AK33" s="329"/>
      <c r="AL33" s="329"/>
      <c r="AM33" s="631" t="s">
        <v>515</v>
      </c>
      <c r="AN33" s="631"/>
      <c r="AO33" s="631"/>
      <c r="AP33" s="631"/>
      <c r="AQ33" s="631"/>
      <c r="AR33" s="631"/>
      <c r="AS33" s="631"/>
      <c r="AT33" s="631"/>
      <c r="AU33" s="631"/>
      <c r="AV33" s="631"/>
      <c r="AW33" s="631"/>
      <c r="AX33" s="631"/>
      <c r="AY33" s="631"/>
      <c r="AZ33" s="631"/>
      <c r="BA33" s="631"/>
      <c r="BB33" s="631"/>
      <c r="BC33" s="631"/>
      <c r="BD33" s="631"/>
      <c r="BG33" s="631"/>
      <c r="BH33" s="631"/>
      <c r="BI33" s="631"/>
      <c r="BJ33" s="631"/>
      <c r="BK33" s="631"/>
      <c r="BL33" s="631"/>
      <c r="BM33" s="631"/>
      <c r="BN33" s="631"/>
      <c r="BO33" s="631"/>
      <c r="BP33" s="631"/>
      <c r="BQ33" s="631"/>
      <c r="BR33" s="631"/>
      <c r="BS33" s="631"/>
      <c r="BT33" s="631"/>
      <c r="BU33" s="631"/>
      <c r="BV33" s="631"/>
      <c r="BW33" s="631"/>
      <c r="BX33" s="631"/>
      <c r="CA33" s="632" t="s">
        <v>517</v>
      </c>
      <c r="CB33" s="632"/>
      <c r="CC33" s="632"/>
      <c r="CD33" s="632"/>
      <c r="CE33" s="632"/>
      <c r="CF33" s="632"/>
      <c r="CG33" s="632"/>
      <c r="CH33" s="632"/>
      <c r="CI33" s="632"/>
      <c r="CJ33" s="632"/>
      <c r="CK33" s="632"/>
      <c r="CL33" s="632"/>
      <c r="CM33" s="632"/>
      <c r="CN33" s="632"/>
      <c r="CO33" s="632"/>
      <c r="CP33" s="632"/>
      <c r="CQ33" s="632"/>
      <c r="CR33" s="632"/>
      <c r="CW33" s="632" t="s">
        <v>488</v>
      </c>
      <c r="CX33" s="632"/>
      <c r="CY33" s="632"/>
      <c r="CZ33" s="632"/>
      <c r="DA33" s="632"/>
      <c r="DB33" s="632"/>
      <c r="DC33" s="632"/>
      <c r="DD33" s="632"/>
      <c r="DE33" s="632"/>
      <c r="DF33" s="632"/>
      <c r="DG33" s="632"/>
      <c r="DH33" s="632"/>
      <c r="DI33" s="632"/>
      <c r="DJ33" s="632"/>
      <c r="DK33" s="632"/>
      <c r="DL33" s="632"/>
      <c r="DM33" s="632"/>
      <c r="DN33" s="632"/>
    </row>
    <row r="34" spans="1:118" s="20" customFormat="1" ht="8.25" customHeight="1">
      <c r="AM34" s="618" t="s">
        <v>181</v>
      </c>
      <c r="AN34" s="618"/>
      <c r="AO34" s="618"/>
      <c r="AP34" s="618"/>
      <c r="AQ34" s="618"/>
      <c r="AR34" s="618"/>
      <c r="AS34" s="618"/>
      <c r="AT34" s="618"/>
      <c r="AU34" s="618"/>
      <c r="AV34" s="618"/>
      <c r="AW34" s="618"/>
      <c r="AX34" s="618"/>
      <c r="AY34" s="618"/>
      <c r="AZ34" s="618"/>
      <c r="BA34" s="618"/>
      <c r="BB34" s="618"/>
      <c r="BC34" s="618"/>
      <c r="BD34" s="618"/>
      <c r="BG34" s="618" t="s">
        <v>120</v>
      </c>
      <c r="BH34" s="618"/>
      <c r="BI34" s="618"/>
      <c r="BJ34" s="618"/>
      <c r="BK34" s="618"/>
      <c r="BL34" s="618"/>
      <c r="BM34" s="618"/>
      <c r="BN34" s="618"/>
      <c r="BO34" s="618"/>
      <c r="BP34" s="618"/>
      <c r="BQ34" s="618"/>
      <c r="BR34" s="618"/>
      <c r="BS34" s="618"/>
      <c r="BT34" s="618"/>
      <c r="BU34" s="618"/>
      <c r="BV34" s="618"/>
      <c r="BW34" s="618"/>
      <c r="BX34" s="618"/>
      <c r="CA34" s="618" t="s">
        <v>121</v>
      </c>
      <c r="CB34" s="618"/>
      <c r="CC34" s="618"/>
      <c r="CD34" s="618"/>
      <c r="CE34" s="618"/>
      <c r="CF34" s="618"/>
      <c r="CG34" s="618"/>
      <c r="CH34" s="618"/>
      <c r="CI34" s="618"/>
      <c r="CJ34" s="618"/>
      <c r="CK34" s="618"/>
      <c r="CL34" s="618"/>
      <c r="CM34" s="618"/>
      <c r="CN34" s="618"/>
      <c r="CO34" s="618"/>
      <c r="CP34" s="618"/>
      <c r="CQ34" s="618"/>
      <c r="CR34" s="618"/>
      <c r="CW34" s="618" t="s">
        <v>183</v>
      </c>
      <c r="CX34" s="618"/>
      <c r="CY34" s="618"/>
      <c r="CZ34" s="618"/>
      <c r="DA34" s="618"/>
      <c r="DB34" s="618"/>
      <c r="DC34" s="618"/>
      <c r="DD34" s="618"/>
      <c r="DE34" s="618"/>
      <c r="DF34" s="618"/>
      <c r="DG34" s="618"/>
      <c r="DH34" s="618"/>
      <c r="DI34" s="618"/>
      <c r="DJ34" s="618"/>
      <c r="DK34" s="618"/>
      <c r="DL34" s="618"/>
      <c r="DM34" s="618"/>
      <c r="DN34" s="618"/>
    </row>
    <row r="35" spans="1:118" s="20" customFormat="1" ht="3" customHeight="1"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</row>
    <row r="36" spans="1:118">
      <c r="I36" s="627" t="s">
        <v>122</v>
      </c>
      <c r="J36" s="627"/>
      <c r="K36" s="595" t="s">
        <v>600</v>
      </c>
      <c r="L36" s="595"/>
      <c r="M36" s="595"/>
      <c r="N36" s="628" t="s">
        <v>122</v>
      </c>
      <c r="O36" s="628"/>
      <c r="Q36" s="595" t="s">
        <v>601</v>
      </c>
      <c r="R36" s="595"/>
      <c r="S36" s="595"/>
      <c r="T36" s="595"/>
      <c r="U36" s="595"/>
      <c r="V36" s="595"/>
      <c r="W36" s="595"/>
      <c r="X36" s="595"/>
      <c r="Y36" s="595"/>
      <c r="Z36" s="595"/>
      <c r="AA36" s="595"/>
      <c r="AB36" s="595"/>
      <c r="AC36" s="595"/>
      <c r="AD36" s="595"/>
      <c r="AE36" s="595"/>
      <c r="AF36" s="627">
        <v>20</v>
      </c>
      <c r="AG36" s="627"/>
      <c r="AH36" s="627"/>
      <c r="AI36" s="629" t="s">
        <v>198</v>
      </c>
      <c r="AJ36" s="629"/>
      <c r="AK36" s="629"/>
      <c r="AL36" s="98" t="s">
        <v>6</v>
      </c>
    </row>
    <row r="37" spans="1:118" ht="12" thickBot="1"/>
    <row r="38" spans="1:118" ht="3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3"/>
    </row>
    <row r="39" spans="1:118">
      <c r="A39" s="24" t="s">
        <v>184</v>
      </c>
      <c r="CM39" s="25"/>
    </row>
    <row r="40" spans="1:118">
      <c r="A40" s="614" t="s">
        <v>394</v>
      </c>
      <c r="B40" s="615"/>
      <c r="C40" s="615"/>
      <c r="D40" s="615"/>
      <c r="E40" s="615"/>
      <c r="F40" s="615"/>
      <c r="G40" s="615"/>
      <c r="H40" s="615"/>
      <c r="I40" s="615"/>
      <c r="J40" s="615"/>
      <c r="K40" s="615"/>
      <c r="L40" s="615"/>
      <c r="M40" s="615"/>
      <c r="N40" s="615"/>
      <c r="O40" s="615"/>
      <c r="P40" s="615"/>
      <c r="Q40" s="615"/>
      <c r="R40" s="615"/>
      <c r="S40" s="615"/>
      <c r="T40" s="615"/>
      <c r="U40" s="615"/>
      <c r="V40" s="615"/>
      <c r="W40" s="615"/>
      <c r="X40" s="615"/>
      <c r="Y40" s="615"/>
      <c r="Z40" s="615"/>
      <c r="AA40" s="615"/>
      <c r="AB40" s="615"/>
      <c r="AC40" s="615"/>
      <c r="AD40" s="615"/>
      <c r="AE40" s="615"/>
      <c r="AF40" s="615"/>
      <c r="AG40" s="615"/>
      <c r="AH40" s="615"/>
      <c r="AI40" s="615"/>
      <c r="AJ40" s="615"/>
      <c r="AK40" s="615"/>
      <c r="AL40" s="615"/>
      <c r="AM40" s="615"/>
      <c r="AN40" s="615"/>
      <c r="AO40" s="615"/>
      <c r="AP40" s="615"/>
      <c r="AQ40" s="615"/>
      <c r="AR40" s="615"/>
      <c r="AS40" s="615"/>
      <c r="AT40" s="615"/>
      <c r="AU40" s="615"/>
      <c r="AV40" s="615"/>
      <c r="AW40" s="615"/>
      <c r="AX40" s="615"/>
      <c r="AY40" s="615"/>
      <c r="AZ40" s="615"/>
      <c r="BA40" s="615"/>
      <c r="BB40" s="615"/>
      <c r="BC40" s="615"/>
      <c r="BD40" s="615"/>
      <c r="BE40" s="615"/>
      <c r="BF40" s="615"/>
      <c r="BG40" s="615"/>
      <c r="BH40" s="615"/>
      <c r="BI40" s="615"/>
      <c r="BJ40" s="615"/>
      <c r="BK40" s="615"/>
      <c r="BL40" s="615"/>
      <c r="BM40" s="615"/>
      <c r="BN40" s="615"/>
      <c r="BO40" s="615"/>
      <c r="BP40" s="615"/>
      <c r="BQ40" s="615"/>
      <c r="BR40" s="615"/>
      <c r="BS40" s="615"/>
      <c r="BT40" s="615"/>
      <c r="BU40" s="615"/>
      <c r="BV40" s="615"/>
      <c r="BW40" s="615"/>
      <c r="BX40" s="615"/>
      <c r="BY40" s="615"/>
      <c r="BZ40" s="615"/>
      <c r="CA40" s="615"/>
      <c r="CB40" s="615"/>
      <c r="CC40" s="615"/>
      <c r="CD40" s="615"/>
      <c r="CE40" s="615"/>
      <c r="CF40" s="615"/>
      <c r="CG40" s="615"/>
      <c r="CH40" s="615"/>
      <c r="CI40" s="615"/>
      <c r="CJ40" s="615"/>
      <c r="CK40" s="615"/>
      <c r="CL40" s="615"/>
      <c r="CM40" s="616"/>
    </row>
    <row r="41" spans="1:118" s="20" customFormat="1" ht="8.25">
      <c r="A41" s="617" t="s">
        <v>185</v>
      </c>
      <c r="B41" s="618"/>
      <c r="C41" s="618"/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  <c r="AC41" s="618"/>
      <c r="AD41" s="618"/>
      <c r="AE41" s="618"/>
      <c r="AF41" s="618"/>
      <c r="AG41" s="618"/>
      <c r="AH41" s="618"/>
      <c r="AI41" s="618"/>
      <c r="AJ41" s="618"/>
      <c r="AK41" s="618"/>
      <c r="AL41" s="618"/>
      <c r="AM41" s="618"/>
      <c r="AN41" s="618"/>
      <c r="AO41" s="618"/>
      <c r="AP41" s="618"/>
      <c r="AQ41" s="618"/>
      <c r="AR41" s="618"/>
      <c r="AS41" s="618"/>
      <c r="AT41" s="618"/>
      <c r="AU41" s="618"/>
      <c r="AV41" s="618"/>
      <c r="AW41" s="618"/>
      <c r="AX41" s="618"/>
      <c r="AY41" s="618"/>
      <c r="AZ41" s="618"/>
      <c r="BA41" s="618"/>
      <c r="BB41" s="618"/>
      <c r="BC41" s="618"/>
      <c r="BD41" s="618"/>
      <c r="BE41" s="618"/>
      <c r="BF41" s="618"/>
      <c r="BG41" s="618"/>
      <c r="BH41" s="618"/>
      <c r="BI41" s="618"/>
      <c r="BJ41" s="618"/>
      <c r="BK41" s="618"/>
      <c r="BL41" s="618"/>
      <c r="BM41" s="618"/>
      <c r="BN41" s="618"/>
      <c r="BO41" s="618"/>
      <c r="BP41" s="618"/>
      <c r="BQ41" s="618"/>
      <c r="BR41" s="618"/>
      <c r="BS41" s="618"/>
      <c r="BT41" s="618"/>
      <c r="BU41" s="618"/>
      <c r="BV41" s="618"/>
      <c r="BW41" s="618"/>
      <c r="BX41" s="618"/>
      <c r="BY41" s="618"/>
      <c r="BZ41" s="618"/>
      <c r="CA41" s="618"/>
      <c r="CB41" s="618"/>
      <c r="CC41" s="618"/>
      <c r="CD41" s="618"/>
      <c r="CE41" s="618"/>
      <c r="CF41" s="618"/>
      <c r="CG41" s="618"/>
      <c r="CH41" s="618"/>
      <c r="CI41" s="618"/>
      <c r="CJ41" s="618"/>
      <c r="CK41" s="618"/>
      <c r="CL41" s="618"/>
      <c r="CM41" s="619"/>
    </row>
    <row r="42" spans="1:118" s="20" customFormat="1" ht="6" customHeight="1">
      <c r="A42" s="26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7"/>
    </row>
    <row r="43" spans="1:118">
      <c r="A43" s="614"/>
      <c r="B43" s="615"/>
      <c r="C43" s="615"/>
      <c r="D43" s="615"/>
      <c r="E43" s="615"/>
      <c r="F43" s="615"/>
      <c r="G43" s="615"/>
      <c r="H43" s="615"/>
      <c r="I43" s="615"/>
      <c r="J43" s="615"/>
      <c r="K43" s="615"/>
      <c r="L43" s="615"/>
      <c r="M43" s="615"/>
      <c r="N43" s="615"/>
      <c r="O43" s="615"/>
      <c r="P43" s="615"/>
      <c r="Q43" s="615"/>
      <c r="R43" s="615"/>
      <c r="S43" s="615"/>
      <c r="T43" s="615"/>
      <c r="U43" s="615"/>
      <c r="V43" s="615"/>
      <c r="W43" s="615"/>
      <c r="X43" s="615"/>
      <c r="Y43" s="615"/>
      <c r="AH43" s="615" t="s">
        <v>518</v>
      </c>
      <c r="AI43" s="615"/>
      <c r="AJ43" s="615"/>
      <c r="AK43" s="615"/>
      <c r="AL43" s="615"/>
      <c r="AM43" s="615"/>
      <c r="AN43" s="615"/>
      <c r="AO43" s="615"/>
      <c r="AP43" s="615"/>
      <c r="AQ43" s="615"/>
      <c r="AR43" s="615"/>
      <c r="AS43" s="615"/>
      <c r="AT43" s="615"/>
      <c r="AU43" s="615"/>
      <c r="AV43" s="615"/>
      <c r="AW43" s="615"/>
      <c r="AX43" s="615"/>
      <c r="AY43" s="615"/>
      <c r="AZ43" s="615"/>
      <c r="BA43" s="615"/>
      <c r="BB43" s="615"/>
      <c r="BC43" s="615"/>
      <c r="BD43" s="615"/>
      <c r="BE43" s="615"/>
      <c r="BF43" s="615"/>
      <c r="BG43" s="615"/>
      <c r="BH43" s="615"/>
      <c r="BI43" s="615"/>
      <c r="BJ43" s="615"/>
      <c r="BK43" s="615"/>
      <c r="BL43" s="615"/>
      <c r="BM43" s="615"/>
      <c r="BN43" s="615"/>
      <c r="BO43" s="615"/>
      <c r="BP43" s="615"/>
      <c r="BQ43" s="615"/>
      <c r="BR43" s="615"/>
      <c r="BS43" s="615"/>
      <c r="BT43" s="615"/>
      <c r="BU43" s="615"/>
      <c r="BV43" s="615"/>
      <c r="BW43" s="615"/>
      <c r="BX43" s="615"/>
      <c r="BY43" s="615"/>
      <c r="BZ43" s="615"/>
      <c r="CA43" s="615"/>
      <c r="CB43" s="615"/>
      <c r="CC43" s="615"/>
      <c r="CD43" s="615"/>
      <c r="CE43" s="615"/>
      <c r="CF43" s="615"/>
      <c r="CG43" s="615"/>
      <c r="CH43" s="615"/>
      <c r="CI43" s="615"/>
      <c r="CJ43" s="615"/>
      <c r="CK43" s="615"/>
      <c r="CL43" s="615"/>
      <c r="CM43" s="616"/>
    </row>
    <row r="44" spans="1:118" s="20" customFormat="1" ht="8.25">
      <c r="A44" s="617" t="s">
        <v>120</v>
      </c>
      <c r="B44" s="618"/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AH44" s="618" t="s">
        <v>121</v>
      </c>
      <c r="AI44" s="618"/>
      <c r="AJ44" s="618"/>
      <c r="AK44" s="618"/>
      <c r="AL44" s="618"/>
      <c r="AM44" s="618"/>
      <c r="AN44" s="618"/>
      <c r="AO44" s="618"/>
      <c r="AP44" s="618"/>
      <c r="AQ44" s="618"/>
      <c r="AR44" s="618"/>
      <c r="AS44" s="618"/>
      <c r="AT44" s="618"/>
      <c r="AU44" s="618"/>
      <c r="AV44" s="618"/>
      <c r="AW44" s="618"/>
      <c r="AX44" s="618"/>
      <c r="AY44" s="618"/>
      <c r="AZ44" s="618"/>
      <c r="BA44" s="618"/>
      <c r="BB44" s="618"/>
      <c r="BC44" s="618"/>
      <c r="BD44" s="618"/>
      <c r="BE44" s="618"/>
      <c r="BF44" s="618"/>
      <c r="BG44" s="618"/>
      <c r="BH44" s="618"/>
      <c r="BI44" s="618"/>
      <c r="BJ44" s="618"/>
      <c r="BK44" s="618"/>
      <c r="BL44" s="618"/>
      <c r="BM44" s="618"/>
      <c r="BN44" s="618"/>
      <c r="BO44" s="618"/>
      <c r="BP44" s="618"/>
      <c r="BQ44" s="618"/>
      <c r="BR44" s="618"/>
      <c r="BS44" s="618"/>
      <c r="BT44" s="618"/>
      <c r="BU44" s="618"/>
      <c r="BV44" s="618"/>
      <c r="BW44" s="618"/>
      <c r="BX44" s="618"/>
      <c r="BY44" s="618"/>
      <c r="BZ44" s="618"/>
      <c r="CA44" s="618"/>
      <c r="CB44" s="618"/>
      <c r="CC44" s="618"/>
      <c r="CD44" s="618"/>
      <c r="CE44" s="618"/>
      <c r="CF44" s="618"/>
      <c r="CG44" s="618"/>
      <c r="CH44" s="618"/>
      <c r="CI44" s="618"/>
      <c r="CJ44" s="618"/>
      <c r="CK44" s="618"/>
      <c r="CL44" s="618"/>
      <c r="CM44" s="619"/>
    </row>
    <row r="45" spans="1:118">
      <c r="A45" s="24"/>
      <c r="CM45" s="25"/>
    </row>
    <row r="46" spans="1:118">
      <c r="A46" s="638" t="s">
        <v>122</v>
      </c>
      <c r="B46" s="627"/>
      <c r="C46" s="595" t="s">
        <v>600</v>
      </c>
      <c r="D46" s="595"/>
      <c r="E46" s="595"/>
      <c r="F46" s="628" t="s">
        <v>122</v>
      </c>
      <c r="G46" s="628"/>
      <c r="I46" s="595" t="s">
        <v>601</v>
      </c>
      <c r="J46" s="595"/>
      <c r="K46" s="595"/>
      <c r="L46" s="595"/>
      <c r="M46" s="595"/>
      <c r="N46" s="595"/>
      <c r="O46" s="595"/>
      <c r="P46" s="595"/>
      <c r="Q46" s="595"/>
      <c r="R46" s="595"/>
      <c r="S46" s="595"/>
      <c r="T46" s="595"/>
      <c r="U46" s="595"/>
      <c r="V46" s="595"/>
      <c r="W46" s="595"/>
      <c r="X46" s="627">
        <v>20</v>
      </c>
      <c r="Y46" s="627"/>
      <c r="Z46" s="627"/>
      <c r="AA46" s="629" t="s">
        <v>198</v>
      </c>
      <c r="AB46" s="629"/>
      <c r="AC46" s="629"/>
      <c r="AD46" s="98" t="s">
        <v>6</v>
      </c>
      <c r="CM46" s="25"/>
    </row>
    <row r="47" spans="1:118" ht="3" customHeight="1" thickBot="1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30"/>
    </row>
    <row r="48" spans="1:11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161" s="32" customFormat="1" ht="12" customHeight="1">
      <c r="A49" s="31"/>
    </row>
    <row r="50" spans="1:161" s="32" customFormat="1" ht="40.5" customHeight="1">
      <c r="A50" s="633"/>
      <c r="B50" s="634"/>
      <c r="C50" s="634"/>
      <c r="D50" s="634"/>
      <c r="E50" s="634"/>
      <c r="F50" s="634"/>
      <c r="G50" s="634"/>
      <c r="H50" s="634"/>
      <c r="I50" s="634"/>
      <c r="J50" s="634"/>
      <c r="K50" s="634"/>
      <c r="L50" s="634"/>
      <c r="M50" s="634"/>
      <c r="N50" s="634"/>
      <c r="O50" s="634"/>
      <c r="P50" s="634"/>
      <c r="Q50" s="634"/>
      <c r="R50" s="634"/>
      <c r="S50" s="634"/>
      <c r="T50" s="634"/>
      <c r="U50" s="634"/>
      <c r="V50" s="634"/>
      <c r="W50" s="634"/>
      <c r="X50" s="634"/>
      <c r="Y50" s="634"/>
      <c r="Z50" s="634"/>
      <c r="AA50" s="634"/>
      <c r="AB50" s="634"/>
      <c r="AC50" s="634"/>
      <c r="AD50" s="634"/>
      <c r="AE50" s="634"/>
      <c r="AF50" s="634"/>
      <c r="AG50" s="634"/>
      <c r="AH50" s="634"/>
      <c r="AI50" s="634"/>
      <c r="AJ50" s="634"/>
      <c r="AK50" s="634"/>
      <c r="AL50" s="634"/>
      <c r="AM50" s="634"/>
      <c r="AN50" s="634"/>
      <c r="AO50" s="634"/>
      <c r="AP50" s="634"/>
      <c r="AQ50" s="634"/>
      <c r="AR50" s="634"/>
      <c r="AS50" s="634"/>
      <c r="AT50" s="634"/>
      <c r="AU50" s="634"/>
      <c r="AV50" s="634"/>
      <c r="AW50" s="634"/>
      <c r="AX50" s="634"/>
      <c r="AY50" s="634"/>
      <c r="AZ50" s="634"/>
      <c r="BA50" s="634"/>
      <c r="BB50" s="634"/>
      <c r="BC50" s="634"/>
      <c r="BD50" s="634"/>
      <c r="BE50" s="634"/>
      <c r="BF50" s="634"/>
      <c r="BG50" s="634"/>
      <c r="BH50" s="634"/>
      <c r="BI50" s="634"/>
      <c r="BJ50" s="634"/>
      <c r="BK50" s="634"/>
      <c r="BL50" s="634"/>
      <c r="BM50" s="634"/>
      <c r="BN50" s="634"/>
      <c r="BO50" s="634"/>
      <c r="BP50" s="634"/>
      <c r="BQ50" s="634"/>
      <c r="BR50" s="634"/>
      <c r="BS50" s="634"/>
      <c r="BT50" s="634"/>
      <c r="BU50" s="634"/>
      <c r="BV50" s="634"/>
      <c r="BW50" s="634"/>
      <c r="BX50" s="634"/>
      <c r="BY50" s="634"/>
      <c r="BZ50" s="634"/>
      <c r="CA50" s="634"/>
      <c r="CB50" s="634"/>
      <c r="CC50" s="634"/>
      <c r="CD50" s="634"/>
      <c r="CE50" s="634"/>
      <c r="CF50" s="634"/>
      <c r="CG50" s="634"/>
      <c r="CH50" s="634"/>
      <c r="CI50" s="634"/>
      <c r="CJ50" s="634"/>
      <c r="CK50" s="634"/>
      <c r="CL50" s="634"/>
      <c r="CM50" s="634"/>
      <c r="CN50" s="634"/>
      <c r="CO50" s="634"/>
      <c r="CP50" s="634"/>
      <c r="CQ50" s="634"/>
      <c r="CR50" s="634"/>
      <c r="CS50" s="634"/>
      <c r="CT50" s="634"/>
      <c r="CU50" s="634"/>
      <c r="CV50" s="634"/>
      <c r="CW50" s="634"/>
      <c r="CX50" s="634"/>
      <c r="CY50" s="634"/>
      <c r="CZ50" s="634"/>
      <c r="DA50" s="634"/>
      <c r="DB50" s="634"/>
      <c r="DC50" s="634"/>
      <c r="DD50" s="634"/>
      <c r="DE50" s="634"/>
      <c r="DF50" s="634"/>
      <c r="DG50" s="634"/>
      <c r="DH50" s="634"/>
      <c r="DI50" s="634"/>
      <c r="DJ50" s="634"/>
      <c r="DK50" s="634"/>
      <c r="DL50" s="634"/>
      <c r="DM50" s="634"/>
      <c r="DN50" s="634"/>
      <c r="DO50" s="634"/>
      <c r="DP50" s="634"/>
      <c r="DQ50" s="634"/>
      <c r="DR50" s="634"/>
      <c r="DS50" s="634"/>
      <c r="DT50" s="634"/>
      <c r="DU50" s="634"/>
      <c r="DV50" s="634"/>
      <c r="DW50" s="634"/>
      <c r="DX50" s="634"/>
      <c r="DY50" s="634"/>
      <c r="DZ50" s="634"/>
      <c r="EA50" s="634"/>
      <c r="EB50" s="634"/>
      <c r="EC50" s="634"/>
      <c r="ED50" s="634"/>
      <c r="EE50" s="634"/>
      <c r="EF50" s="634"/>
      <c r="EG50" s="634"/>
      <c r="EH50" s="634"/>
      <c r="EI50" s="634"/>
      <c r="EJ50" s="634"/>
      <c r="EK50" s="634"/>
      <c r="EL50" s="634"/>
      <c r="EM50" s="634"/>
      <c r="EN50" s="634"/>
      <c r="EO50" s="634"/>
      <c r="EP50" s="634"/>
      <c r="EQ50" s="634"/>
      <c r="ER50" s="634"/>
      <c r="ES50" s="634"/>
      <c r="ET50" s="634"/>
      <c r="EU50" s="634"/>
      <c r="EV50" s="634"/>
      <c r="EW50" s="634"/>
      <c r="EX50" s="634"/>
      <c r="EY50" s="634"/>
      <c r="EZ50" s="634"/>
      <c r="FA50" s="634"/>
      <c r="FB50" s="634"/>
      <c r="FC50" s="634"/>
      <c r="FD50" s="634"/>
      <c r="FE50" s="634"/>
    </row>
    <row r="51" spans="1:161" s="32" customFormat="1" ht="21" customHeight="1">
      <c r="A51" s="635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  <c r="O51" s="635"/>
      <c r="P51" s="635"/>
      <c r="Q51" s="635"/>
      <c r="R51" s="635"/>
      <c r="S51" s="635"/>
      <c r="T51" s="635"/>
      <c r="U51" s="635"/>
      <c r="V51" s="635"/>
      <c r="W51" s="635"/>
      <c r="X51" s="635"/>
      <c r="Y51" s="635"/>
      <c r="Z51" s="635"/>
      <c r="AA51" s="635"/>
      <c r="AB51" s="635"/>
      <c r="AC51" s="635"/>
      <c r="AD51" s="635"/>
      <c r="AE51" s="635"/>
      <c r="AF51" s="635"/>
      <c r="AG51" s="635"/>
      <c r="AH51" s="635"/>
      <c r="AI51" s="635"/>
      <c r="AJ51" s="635"/>
      <c r="AK51" s="635"/>
      <c r="AL51" s="635"/>
      <c r="AM51" s="635"/>
      <c r="AN51" s="635"/>
      <c r="AO51" s="635"/>
      <c r="AP51" s="635"/>
      <c r="AQ51" s="635"/>
      <c r="AR51" s="635"/>
      <c r="AS51" s="635"/>
      <c r="AT51" s="635"/>
      <c r="AU51" s="635"/>
      <c r="AV51" s="635"/>
      <c r="AW51" s="635"/>
      <c r="AX51" s="635"/>
      <c r="AY51" s="635"/>
      <c r="AZ51" s="635"/>
      <c r="BA51" s="635"/>
      <c r="BB51" s="635"/>
      <c r="BC51" s="635"/>
      <c r="BD51" s="635"/>
      <c r="BE51" s="635"/>
      <c r="BF51" s="635"/>
      <c r="BG51" s="635"/>
      <c r="BH51" s="635"/>
      <c r="BI51" s="635"/>
      <c r="BJ51" s="635"/>
      <c r="BK51" s="635"/>
      <c r="BL51" s="635"/>
      <c r="BM51" s="635"/>
      <c r="BN51" s="635"/>
      <c r="BO51" s="635"/>
      <c r="BP51" s="635"/>
      <c r="BQ51" s="635"/>
      <c r="BR51" s="635"/>
      <c r="BS51" s="635"/>
      <c r="BT51" s="635"/>
      <c r="BU51" s="635"/>
      <c r="BV51" s="635"/>
      <c r="BW51" s="635"/>
      <c r="BX51" s="635"/>
      <c r="BY51" s="635"/>
      <c r="BZ51" s="635"/>
      <c r="CA51" s="635"/>
      <c r="CB51" s="635"/>
      <c r="CC51" s="635"/>
      <c r="CD51" s="635"/>
      <c r="CE51" s="635"/>
      <c r="CF51" s="635"/>
      <c r="CG51" s="635"/>
      <c r="CH51" s="635"/>
      <c r="CI51" s="635"/>
      <c r="CJ51" s="635"/>
      <c r="CK51" s="635"/>
      <c r="CL51" s="635"/>
      <c r="CM51" s="635"/>
      <c r="CN51" s="635"/>
      <c r="CO51" s="635"/>
      <c r="CP51" s="635"/>
      <c r="CQ51" s="635"/>
      <c r="CR51" s="635"/>
      <c r="CS51" s="635"/>
      <c r="CT51" s="635"/>
      <c r="CU51" s="635"/>
      <c r="CV51" s="635"/>
      <c r="CW51" s="635"/>
      <c r="CX51" s="635"/>
      <c r="CY51" s="635"/>
      <c r="CZ51" s="635"/>
      <c r="DA51" s="635"/>
      <c r="DB51" s="635"/>
      <c r="DC51" s="635"/>
      <c r="DD51" s="635"/>
      <c r="DE51" s="635"/>
      <c r="DF51" s="635"/>
      <c r="DG51" s="635"/>
      <c r="DH51" s="635"/>
      <c r="DI51" s="635"/>
      <c r="DJ51" s="635"/>
      <c r="DK51" s="635"/>
      <c r="DL51" s="635"/>
      <c r="DM51" s="635"/>
      <c r="DN51" s="635"/>
      <c r="DO51" s="635"/>
      <c r="DP51" s="635"/>
      <c r="DQ51" s="635"/>
      <c r="DR51" s="635"/>
      <c r="DS51" s="635"/>
      <c r="DT51" s="635"/>
      <c r="DU51" s="635"/>
      <c r="DV51" s="635"/>
      <c r="DW51" s="635"/>
      <c r="DX51" s="635"/>
      <c r="DY51" s="635"/>
      <c r="DZ51" s="635"/>
      <c r="EA51" s="635"/>
      <c r="EB51" s="635"/>
      <c r="EC51" s="635"/>
      <c r="ED51" s="635"/>
      <c r="EE51" s="635"/>
      <c r="EF51" s="635"/>
      <c r="EG51" s="635"/>
      <c r="EH51" s="635"/>
      <c r="EI51" s="635"/>
      <c r="EJ51" s="635"/>
      <c r="EK51" s="635"/>
      <c r="EL51" s="635"/>
      <c r="EM51" s="635"/>
      <c r="EN51" s="635"/>
      <c r="EO51" s="635"/>
      <c r="EP51" s="635"/>
      <c r="EQ51" s="635"/>
      <c r="ER51" s="635"/>
      <c r="ES51" s="635"/>
      <c r="ET51" s="635"/>
      <c r="EU51" s="635"/>
      <c r="EV51" s="635"/>
      <c r="EW51" s="635"/>
      <c r="EX51" s="635"/>
      <c r="EY51" s="635"/>
      <c r="EZ51" s="635"/>
      <c r="FA51" s="635"/>
      <c r="FB51" s="635"/>
      <c r="FC51" s="635"/>
      <c r="FD51" s="635"/>
      <c r="FE51" s="635"/>
    </row>
    <row r="52" spans="1:161" s="32" customFormat="1" ht="11.25" customHeight="1">
      <c r="A52" s="31"/>
    </row>
    <row r="53" spans="1:161" s="32" customFormat="1" ht="11.25" customHeight="1">
      <c r="A53" s="31"/>
    </row>
    <row r="54" spans="1:161" s="32" customFormat="1" ht="11.25" customHeight="1">
      <c r="A54" s="31"/>
    </row>
    <row r="55" spans="1:161" s="32" customFormat="1" ht="20.25" customHeight="1">
      <c r="A55" s="636"/>
      <c r="B55" s="637"/>
      <c r="C55" s="637"/>
      <c r="D55" s="637"/>
      <c r="E55" s="637"/>
      <c r="F55" s="637"/>
      <c r="G55" s="637"/>
      <c r="H55" s="637"/>
      <c r="I55" s="637"/>
      <c r="J55" s="637"/>
      <c r="K55" s="637"/>
      <c r="L55" s="637"/>
      <c r="M55" s="637"/>
      <c r="N55" s="637"/>
      <c r="O55" s="637"/>
      <c r="P55" s="637"/>
      <c r="Q55" s="637"/>
      <c r="R55" s="637"/>
      <c r="S55" s="637"/>
      <c r="T55" s="637"/>
      <c r="U55" s="637"/>
      <c r="V55" s="637"/>
      <c r="W55" s="637"/>
      <c r="X55" s="637"/>
      <c r="Y55" s="637"/>
      <c r="Z55" s="637"/>
      <c r="AA55" s="637"/>
      <c r="AB55" s="637"/>
      <c r="AC55" s="637"/>
      <c r="AD55" s="637"/>
      <c r="AE55" s="637"/>
      <c r="AF55" s="637"/>
      <c r="AG55" s="637"/>
      <c r="AH55" s="637"/>
      <c r="AI55" s="637"/>
      <c r="AJ55" s="637"/>
      <c r="AK55" s="637"/>
      <c r="AL55" s="637"/>
      <c r="AM55" s="637"/>
      <c r="AN55" s="637"/>
      <c r="AO55" s="637"/>
      <c r="AP55" s="637"/>
      <c r="AQ55" s="637"/>
      <c r="AR55" s="637"/>
      <c r="AS55" s="637"/>
      <c r="AT55" s="637"/>
      <c r="AU55" s="637"/>
      <c r="AV55" s="637"/>
      <c r="AW55" s="637"/>
      <c r="AX55" s="637"/>
      <c r="AY55" s="637"/>
      <c r="AZ55" s="637"/>
      <c r="BA55" s="637"/>
      <c r="BB55" s="637"/>
      <c r="BC55" s="637"/>
      <c r="BD55" s="637"/>
      <c r="BE55" s="637"/>
      <c r="BF55" s="637"/>
      <c r="BG55" s="637"/>
      <c r="BH55" s="637"/>
      <c r="BI55" s="637"/>
      <c r="BJ55" s="637"/>
      <c r="BK55" s="637"/>
      <c r="BL55" s="637"/>
      <c r="BM55" s="637"/>
      <c r="BN55" s="637"/>
      <c r="BO55" s="637"/>
      <c r="BP55" s="637"/>
      <c r="BQ55" s="637"/>
      <c r="BR55" s="637"/>
      <c r="BS55" s="637"/>
      <c r="BT55" s="637"/>
      <c r="BU55" s="637"/>
      <c r="BV55" s="637"/>
      <c r="BW55" s="637"/>
      <c r="BX55" s="637"/>
      <c r="BY55" s="637"/>
      <c r="BZ55" s="637"/>
      <c r="CA55" s="637"/>
      <c r="CB55" s="637"/>
      <c r="CC55" s="637"/>
      <c r="CD55" s="637"/>
      <c r="CE55" s="637"/>
      <c r="CF55" s="637"/>
      <c r="CG55" s="637"/>
      <c r="CH55" s="637"/>
      <c r="CI55" s="637"/>
      <c r="CJ55" s="637"/>
      <c r="CK55" s="637"/>
      <c r="CL55" s="637"/>
      <c r="CM55" s="637"/>
      <c r="CN55" s="637"/>
      <c r="CO55" s="637"/>
      <c r="CP55" s="637"/>
      <c r="CQ55" s="637"/>
      <c r="CR55" s="637"/>
      <c r="CS55" s="637"/>
      <c r="CT55" s="637"/>
      <c r="CU55" s="637"/>
      <c r="CV55" s="637"/>
      <c r="CW55" s="637"/>
      <c r="CX55" s="637"/>
      <c r="CY55" s="637"/>
      <c r="CZ55" s="637"/>
      <c r="DA55" s="637"/>
      <c r="DB55" s="637"/>
      <c r="DC55" s="637"/>
      <c r="DD55" s="637"/>
      <c r="DE55" s="637"/>
      <c r="DF55" s="637"/>
      <c r="DG55" s="637"/>
      <c r="DH55" s="637"/>
      <c r="DI55" s="637"/>
      <c r="DJ55" s="637"/>
      <c r="DK55" s="637"/>
      <c r="DL55" s="637"/>
      <c r="DM55" s="637"/>
      <c r="DN55" s="637"/>
      <c r="DO55" s="637"/>
      <c r="DP55" s="637"/>
      <c r="DQ55" s="637"/>
      <c r="DR55" s="637"/>
      <c r="DS55" s="637"/>
      <c r="DT55" s="637"/>
      <c r="DU55" s="637"/>
      <c r="DV55" s="637"/>
      <c r="DW55" s="637"/>
      <c r="DX55" s="637"/>
      <c r="DY55" s="637"/>
      <c r="DZ55" s="637"/>
      <c r="EA55" s="637"/>
      <c r="EB55" s="637"/>
      <c r="EC55" s="637"/>
      <c r="ED55" s="637"/>
      <c r="EE55" s="637"/>
      <c r="EF55" s="637"/>
      <c r="EG55" s="637"/>
      <c r="EH55" s="637"/>
      <c r="EI55" s="637"/>
      <c r="EJ55" s="637"/>
      <c r="EK55" s="637"/>
      <c r="EL55" s="637"/>
      <c r="EM55" s="637"/>
      <c r="EN55" s="637"/>
      <c r="EO55" s="637"/>
      <c r="EP55" s="637"/>
      <c r="EQ55" s="637"/>
      <c r="ER55" s="637"/>
      <c r="ES55" s="637"/>
      <c r="ET55" s="637"/>
      <c r="EU55" s="637"/>
      <c r="EV55" s="637"/>
      <c r="EW55" s="637"/>
      <c r="EX55" s="637"/>
      <c r="EY55" s="637"/>
      <c r="EZ55" s="637"/>
      <c r="FA55" s="637"/>
      <c r="FB55" s="637"/>
      <c r="FC55" s="637"/>
      <c r="FD55" s="637"/>
      <c r="FE55" s="637"/>
    </row>
    <row r="56" spans="1:161" ht="3" customHeight="1"/>
  </sheetData>
  <mergeCells count="216">
    <mergeCell ref="A43:Y43"/>
    <mergeCell ref="AH43:CM43"/>
    <mergeCell ref="A50:FE50"/>
    <mergeCell ref="A51:FE51"/>
    <mergeCell ref="A55:FE55"/>
    <mergeCell ref="A46:B46"/>
    <mergeCell ref="C46:E46"/>
    <mergeCell ref="F46:G46"/>
    <mergeCell ref="I46:W46"/>
    <mergeCell ref="X46:Z46"/>
    <mergeCell ref="AA46:AC46"/>
    <mergeCell ref="A44:Y44"/>
    <mergeCell ref="AH44:CM44"/>
    <mergeCell ref="AF36:AH36"/>
    <mergeCell ref="AI36:AK36"/>
    <mergeCell ref="ES26:FE27"/>
    <mergeCell ref="I27:CM27"/>
    <mergeCell ref="AQ30:BH30"/>
    <mergeCell ref="BK30:BV30"/>
    <mergeCell ref="BY30:CR30"/>
    <mergeCell ref="AQ31:BH31"/>
    <mergeCell ref="BK31:BV31"/>
    <mergeCell ref="BY31:CR31"/>
    <mergeCell ref="AM33:BD33"/>
    <mergeCell ref="BG33:BX33"/>
    <mergeCell ref="CA33:CR33"/>
    <mergeCell ref="CW33:DN33"/>
    <mergeCell ref="CW34:DN34"/>
    <mergeCell ref="A40:CM40"/>
    <mergeCell ref="A41:CM41"/>
    <mergeCell ref="DS25:EE25"/>
    <mergeCell ref="EF25:ER25"/>
    <mergeCell ref="ES25:FE25"/>
    <mergeCell ref="A26:H27"/>
    <mergeCell ref="I26:CM26"/>
    <mergeCell ref="CN26:CU27"/>
    <mergeCell ref="CV26:DE27"/>
    <mergeCell ref="DF26:DR27"/>
    <mergeCell ref="DS26:EE27"/>
    <mergeCell ref="EF26:ER27"/>
    <mergeCell ref="A25:H25"/>
    <mergeCell ref="I25:CM25"/>
    <mergeCell ref="CN25:CU25"/>
    <mergeCell ref="CV25:DE25"/>
    <mergeCell ref="DF25:DR25"/>
    <mergeCell ref="AM34:BD34"/>
    <mergeCell ref="BG34:BX34"/>
    <mergeCell ref="CA34:CR34"/>
    <mergeCell ref="I36:J36"/>
    <mergeCell ref="K36:M36"/>
    <mergeCell ref="N36:O36"/>
    <mergeCell ref="Q36:AE36"/>
    <mergeCell ref="A22:H22"/>
    <mergeCell ref="I22:CM22"/>
    <mergeCell ref="CN22:CU22"/>
    <mergeCell ref="CV22:DE22"/>
    <mergeCell ref="DF22:DR22"/>
    <mergeCell ref="DS22:EE22"/>
    <mergeCell ref="EF22:ER22"/>
    <mergeCell ref="ES22:FE22"/>
    <mergeCell ref="A23:H24"/>
    <mergeCell ref="I23:CM23"/>
    <mergeCell ref="CN23:CU24"/>
    <mergeCell ref="CV23:DE24"/>
    <mergeCell ref="DF23:DR24"/>
    <mergeCell ref="DS23:EE24"/>
    <mergeCell ref="EF23:ER24"/>
    <mergeCell ref="ES23:FE24"/>
    <mergeCell ref="I24:CM24"/>
    <mergeCell ref="A20:H20"/>
    <mergeCell ref="I20:CM20"/>
    <mergeCell ref="CN20:CU20"/>
    <mergeCell ref="CV20:DE20"/>
    <mergeCell ref="DF20:DR20"/>
    <mergeCell ref="DS20:EE20"/>
    <mergeCell ref="EF20:ER20"/>
    <mergeCell ref="ES20:FE20"/>
    <mergeCell ref="A21:H21"/>
    <mergeCell ref="I21:CM21"/>
    <mergeCell ref="CN21:CU21"/>
    <mergeCell ref="CV21:DE21"/>
    <mergeCell ref="DF21:DR21"/>
    <mergeCell ref="DS21:EE21"/>
    <mergeCell ref="EF21:ER21"/>
    <mergeCell ref="ES21:FE21"/>
    <mergeCell ref="A18:H18"/>
    <mergeCell ref="I18:CM18"/>
    <mergeCell ref="CN18:CU18"/>
    <mergeCell ref="CV18:DE18"/>
    <mergeCell ref="DF18:DR18"/>
    <mergeCell ref="DS18:EE18"/>
    <mergeCell ref="EF18:ER18"/>
    <mergeCell ref="ES18:FE18"/>
    <mergeCell ref="A19:H19"/>
    <mergeCell ref="I19:CM19"/>
    <mergeCell ref="CN19:CU19"/>
    <mergeCell ref="CV19:DE19"/>
    <mergeCell ref="DF19:DR19"/>
    <mergeCell ref="DS19:EE19"/>
    <mergeCell ref="EF19:ER19"/>
    <mergeCell ref="ES19:FE19"/>
    <mergeCell ref="A16:H16"/>
    <mergeCell ref="I16:CM16"/>
    <mergeCell ref="CN16:CU16"/>
    <mergeCell ref="CV16:DE16"/>
    <mergeCell ref="DF16:DR16"/>
    <mergeCell ref="DS16:EE16"/>
    <mergeCell ref="EF16:ER16"/>
    <mergeCell ref="ES16:FE16"/>
    <mergeCell ref="A17:H17"/>
    <mergeCell ref="I17:CM17"/>
    <mergeCell ref="CN17:CU17"/>
    <mergeCell ref="CV17:DE17"/>
    <mergeCell ref="DF17:DR17"/>
    <mergeCell ref="DS17:EE17"/>
    <mergeCell ref="EF17:ER17"/>
    <mergeCell ref="ES17:FE17"/>
    <mergeCell ref="A14:H14"/>
    <mergeCell ref="I14:CM14"/>
    <mergeCell ref="CN14:CU14"/>
    <mergeCell ref="CV14:DE14"/>
    <mergeCell ref="DF14:DR14"/>
    <mergeCell ref="DS14:EE14"/>
    <mergeCell ref="EF14:ER14"/>
    <mergeCell ref="ES14:FE14"/>
    <mergeCell ref="A15:H15"/>
    <mergeCell ref="I15:CM15"/>
    <mergeCell ref="CN15:CU15"/>
    <mergeCell ref="CV15:DE15"/>
    <mergeCell ref="DF15:DR15"/>
    <mergeCell ref="DS15:EE15"/>
    <mergeCell ref="EF15:ER15"/>
    <mergeCell ref="ES15:FE15"/>
    <mergeCell ref="A12:H12"/>
    <mergeCell ref="I12:CM12"/>
    <mergeCell ref="CN12:CU12"/>
    <mergeCell ref="CV12:DE12"/>
    <mergeCell ref="DF12:DR12"/>
    <mergeCell ref="DS12:EE12"/>
    <mergeCell ref="EF12:ER12"/>
    <mergeCell ref="ES12:FE12"/>
    <mergeCell ref="A13:H13"/>
    <mergeCell ref="I13:CM13"/>
    <mergeCell ref="CN13:CU13"/>
    <mergeCell ref="CV13:DE13"/>
    <mergeCell ref="DF13:DR13"/>
    <mergeCell ref="DS13:EE13"/>
    <mergeCell ref="EF13:ER13"/>
    <mergeCell ref="ES13:FE13"/>
    <mergeCell ref="A10:H10"/>
    <mergeCell ref="I10:CM10"/>
    <mergeCell ref="CN10:CU10"/>
    <mergeCell ref="CV10:DE10"/>
    <mergeCell ref="DF10:DR10"/>
    <mergeCell ref="DS10:EE10"/>
    <mergeCell ref="EF10:ER10"/>
    <mergeCell ref="ES10:FE10"/>
    <mergeCell ref="A11:H11"/>
    <mergeCell ref="I11:CM11"/>
    <mergeCell ref="CN11:CU11"/>
    <mergeCell ref="CV11:DE11"/>
    <mergeCell ref="DF11:DR11"/>
    <mergeCell ref="DS11:EE11"/>
    <mergeCell ref="EF11:ER11"/>
    <mergeCell ref="ES11:FE11"/>
    <mergeCell ref="A8:H8"/>
    <mergeCell ref="I8:CM8"/>
    <mergeCell ref="CN8:CU8"/>
    <mergeCell ref="CV8:DE8"/>
    <mergeCell ref="DF8:DR8"/>
    <mergeCell ref="DS8:EE8"/>
    <mergeCell ref="EF8:ER8"/>
    <mergeCell ref="ES8:FE8"/>
    <mergeCell ref="A9:H9"/>
    <mergeCell ref="I9:CM9"/>
    <mergeCell ref="CN9:CU9"/>
    <mergeCell ref="CV9:DE9"/>
    <mergeCell ref="DF9:DR9"/>
    <mergeCell ref="DS9:EE9"/>
    <mergeCell ref="EF9:ER9"/>
    <mergeCell ref="ES9:FE9"/>
    <mergeCell ref="A6:H6"/>
    <mergeCell ref="I6:CM6"/>
    <mergeCell ref="CN6:CU6"/>
    <mergeCell ref="CV6:DE6"/>
    <mergeCell ref="DF6:DR6"/>
    <mergeCell ref="DS6:EE6"/>
    <mergeCell ref="EF6:ER6"/>
    <mergeCell ref="ES6:FE6"/>
    <mergeCell ref="A7:H7"/>
    <mergeCell ref="I7:CM7"/>
    <mergeCell ref="CN7:CU7"/>
    <mergeCell ref="CV7:DE7"/>
    <mergeCell ref="DF7:DR7"/>
    <mergeCell ref="DS7:EE7"/>
    <mergeCell ref="EF7:ER7"/>
    <mergeCell ref="ES7:FE7"/>
    <mergeCell ref="B1:FD1"/>
    <mergeCell ref="A3:H5"/>
    <mergeCell ref="I3:CM5"/>
    <mergeCell ref="CN3:CU5"/>
    <mergeCell ref="CV3:DE5"/>
    <mergeCell ref="DF3:FE3"/>
    <mergeCell ref="DF4:DK4"/>
    <mergeCell ref="DL4:DN4"/>
    <mergeCell ref="DO4:DR4"/>
    <mergeCell ref="DS4:DX4"/>
    <mergeCell ref="DY4:EA4"/>
    <mergeCell ref="EB4:EE4"/>
    <mergeCell ref="EF4:EK4"/>
    <mergeCell ref="EL4:EN4"/>
    <mergeCell ref="EO4:ER4"/>
    <mergeCell ref="ES4:FE5"/>
    <mergeCell ref="DF5:DR5"/>
    <mergeCell ref="DS5:EE5"/>
    <mergeCell ref="EF5:ER5"/>
  </mergeCells>
  <pageMargins left="0.59055118110236227" right="0.51181102362204722" top="0.78740157480314965" bottom="0.31496062992125984" header="0.19685039370078741" footer="0.19685039370078741"/>
  <pageSetup paperSize="9" scale="66" orientation="portrait" r:id="rId1"/>
  <headerFooter alignWithMargins="0"/>
  <rowBreaks count="1" manualBreakCount="1">
    <brk id="49" max="1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25"/>
  <sheetViews>
    <sheetView showGridLines="0" zoomScaleSheetLayoutView="80" workbookViewId="0">
      <selection activeCell="H23" sqref="H23"/>
    </sheetView>
  </sheetViews>
  <sheetFormatPr defaultColWidth="9.140625" defaultRowHeight="15"/>
  <cols>
    <col min="1" max="1" width="30" style="127" customWidth="1"/>
    <col min="2" max="10" width="13.28515625" style="127" customWidth="1"/>
    <col min="11" max="16384" width="9.140625" style="127"/>
  </cols>
  <sheetData>
    <row r="1" spans="1:21" ht="21.75" customHeight="1">
      <c r="A1" s="639" t="s">
        <v>268</v>
      </c>
      <c r="B1" s="639"/>
      <c r="C1" s="639"/>
      <c r="D1" s="639"/>
      <c r="E1" s="639"/>
      <c r="F1" s="639"/>
      <c r="G1" s="639"/>
      <c r="H1" s="639"/>
      <c r="I1" s="639"/>
      <c r="J1" s="639"/>
    </row>
    <row r="2" spans="1:21" ht="45" customHeight="1">
      <c r="A2" s="640" t="s">
        <v>269</v>
      </c>
      <c r="B2" s="642" t="s">
        <v>270</v>
      </c>
      <c r="C2" s="643"/>
      <c r="D2" s="644"/>
      <c r="E2" s="642" t="s">
        <v>271</v>
      </c>
      <c r="F2" s="643"/>
      <c r="G2" s="644"/>
      <c r="H2" s="642" t="s">
        <v>272</v>
      </c>
      <c r="I2" s="643"/>
      <c r="J2" s="644"/>
    </row>
    <row r="3" spans="1:21" ht="69.75" customHeight="1">
      <c r="A3" s="641"/>
      <c r="B3" s="198" t="s">
        <v>379</v>
      </c>
      <c r="C3" s="198" t="s">
        <v>380</v>
      </c>
      <c r="D3" s="198" t="s">
        <v>382</v>
      </c>
      <c r="E3" s="198" t="s">
        <v>379</v>
      </c>
      <c r="F3" s="198" t="s">
        <v>380</v>
      </c>
      <c r="G3" s="198" t="s">
        <v>382</v>
      </c>
      <c r="H3" s="198" t="s">
        <v>379</v>
      </c>
      <c r="I3" s="198" t="s">
        <v>380</v>
      </c>
      <c r="J3" s="198" t="s">
        <v>382</v>
      </c>
    </row>
    <row r="4" spans="1:21" ht="31.5" customHeight="1">
      <c r="A4" s="128" t="s">
        <v>273</v>
      </c>
      <c r="B4" s="128" t="s">
        <v>274</v>
      </c>
      <c r="C4" s="128" t="s">
        <v>274</v>
      </c>
      <c r="D4" s="128" t="s">
        <v>274</v>
      </c>
      <c r="E4" s="128" t="s">
        <v>274</v>
      </c>
      <c r="F4" s="128" t="s">
        <v>274</v>
      </c>
      <c r="G4" s="128" t="s">
        <v>274</v>
      </c>
      <c r="H4" s="129">
        <v>0</v>
      </c>
      <c r="I4" s="129">
        <v>0</v>
      </c>
      <c r="J4" s="129">
        <v>0</v>
      </c>
    </row>
    <row r="5" spans="1:21" ht="104.25" customHeight="1">
      <c r="A5" s="128" t="s">
        <v>275</v>
      </c>
      <c r="B5" s="128" t="s">
        <v>274</v>
      </c>
      <c r="C5" s="128" t="s">
        <v>274</v>
      </c>
      <c r="D5" s="128" t="s">
        <v>274</v>
      </c>
      <c r="E5" s="128" t="s">
        <v>274</v>
      </c>
      <c r="F5" s="128" t="s">
        <v>274</v>
      </c>
      <c r="G5" s="128" t="s">
        <v>274</v>
      </c>
      <c r="H5" s="129"/>
      <c r="I5" s="129"/>
      <c r="J5" s="129"/>
    </row>
    <row r="6" spans="1:21" s="132" customFormat="1" ht="30">
      <c r="A6" s="130" t="s">
        <v>276</v>
      </c>
      <c r="B6" s="128" t="s">
        <v>274</v>
      </c>
      <c r="C6" s="128" t="s">
        <v>274</v>
      </c>
      <c r="D6" s="128" t="s">
        <v>274</v>
      </c>
      <c r="E6" s="128" t="s">
        <v>274</v>
      </c>
      <c r="F6" s="128" t="s">
        <v>274</v>
      </c>
      <c r="G6" s="128" t="s">
        <v>274</v>
      </c>
      <c r="H6" s="131">
        <f>SUM(H8:H8)</f>
        <v>0</v>
      </c>
      <c r="I6" s="131">
        <f>SUM(I8:I8)</f>
        <v>0</v>
      </c>
      <c r="J6" s="131">
        <f>SUM(J8:J8)</f>
        <v>0</v>
      </c>
    </row>
    <row r="7" spans="1:21" s="132" customFormat="1" ht="13.5" customHeight="1">
      <c r="A7" s="133" t="s">
        <v>29</v>
      </c>
      <c r="B7" s="131"/>
      <c r="C7" s="131"/>
      <c r="D7" s="131"/>
      <c r="E7" s="131"/>
      <c r="F7" s="131"/>
      <c r="G7" s="131"/>
      <c r="H7" s="131"/>
      <c r="I7" s="131"/>
      <c r="J7" s="131"/>
    </row>
    <row r="8" spans="1:21" ht="23.25" customHeight="1">
      <c r="A8" s="128" t="s">
        <v>277</v>
      </c>
      <c r="B8" s="134"/>
      <c r="C8" s="134"/>
      <c r="D8" s="134"/>
      <c r="E8" s="134"/>
      <c r="F8" s="134"/>
      <c r="G8" s="134"/>
      <c r="H8" s="134">
        <f>B8*E8</f>
        <v>0</v>
      </c>
      <c r="I8" s="134">
        <f>C8*F8</f>
        <v>0</v>
      </c>
      <c r="J8" s="134">
        <f t="shared" ref="J8" si="0">D8*G8</f>
        <v>0</v>
      </c>
    </row>
    <row r="9" spans="1:21" s="132" customFormat="1" ht="17.25" customHeight="1">
      <c r="A9" s="130" t="s">
        <v>278</v>
      </c>
      <c r="B9" s="128" t="s">
        <v>274</v>
      </c>
      <c r="C9" s="128" t="s">
        <v>274</v>
      </c>
      <c r="D9" s="128" t="s">
        <v>274</v>
      </c>
      <c r="E9" s="128" t="s">
        <v>274</v>
      </c>
      <c r="F9" s="128" t="s">
        <v>274</v>
      </c>
      <c r="G9" s="128" t="s">
        <v>274</v>
      </c>
      <c r="H9" s="131">
        <f>SUM(H11:H11)</f>
        <v>0</v>
      </c>
      <c r="I9" s="131">
        <f>SUM(I11:I11)</f>
        <v>0</v>
      </c>
      <c r="J9" s="131">
        <f>SUM(J11:J11)</f>
        <v>0</v>
      </c>
    </row>
    <row r="10" spans="1:21" s="132" customFormat="1" ht="12.75" customHeight="1">
      <c r="A10" s="133" t="s">
        <v>29</v>
      </c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21" ht="24" customHeight="1">
      <c r="A11" s="128" t="s">
        <v>277</v>
      </c>
      <c r="B11" s="134"/>
      <c r="C11" s="134"/>
      <c r="D11" s="134"/>
      <c r="E11" s="134"/>
      <c r="F11" s="134"/>
      <c r="G11" s="134"/>
      <c r="H11" s="134">
        <f>B11*E11</f>
        <v>0</v>
      </c>
      <c r="I11" s="134">
        <f t="shared" ref="I11:J11" si="1">C11*F11</f>
        <v>0</v>
      </c>
      <c r="J11" s="134">
        <f t="shared" si="1"/>
        <v>0</v>
      </c>
    </row>
    <row r="12" spans="1:21" s="137" customFormat="1" ht="24" customHeight="1">
      <c r="A12" s="135" t="s">
        <v>279</v>
      </c>
      <c r="B12" s="128" t="s">
        <v>274</v>
      </c>
      <c r="C12" s="128" t="s">
        <v>274</v>
      </c>
      <c r="D12" s="128" t="s">
        <v>274</v>
      </c>
      <c r="E12" s="128" t="s">
        <v>274</v>
      </c>
      <c r="F12" s="128" t="s">
        <v>274</v>
      </c>
      <c r="G12" s="128" t="s">
        <v>274</v>
      </c>
      <c r="H12" s="136">
        <f>H6+H9+H4+H5</f>
        <v>0</v>
      </c>
      <c r="I12" s="136">
        <f>I6+I9+I4+I5</f>
        <v>0</v>
      </c>
      <c r="J12" s="136">
        <f>J6+J9+J4+J5</f>
        <v>0</v>
      </c>
    </row>
    <row r="16" spans="1:21" ht="16.5" customHeight="1">
      <c r="A16" s="645" t="s">
        <v>179</v>
      </c>
      <c r="B16" s="645"/>
      <c r="C16" s="138" t="s">
        <v>401</v>
      </c>
      <c r="D16" s="139"/>
      <c r="E16" s="138"/>
      <c r="F16" s="139"/>
      <c r="G16" s="138" t="s">
        <v>505</v>
      </c>
      <c r="H16" s="138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40"/>
    </row>
    <row r="17" spans="1:21" ht="17.25" customHeight="1">
      <c r="A17" s="645" t="s">
        <v>180</v>
      </c>
      <c r="B17" s="645"/>
      <c r="C17" s="141" t="s">
        <v>181</v>
      </c>
      <c r="D17" s="142"/>
      <c r="E17" s="141" t="s">
        <v>120</v>
      </c>
      <c r="F17" s="142"/>
      <c r="G17" s="646" t="s">
        <v>121</v>
      </c>
      <c r="H17" s="646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0"/>
    </row>
    <row r="18" spans="1:21">
      <c r="A18" s="143"/>
    </row>
    <row r="19" spans="1:21">
      <c r="C19" s="138" t="str">
        <f>закупки!AM33</f>
        <v>Главный бухгалтер</v>
      </c>
      <c r="D19" s="139"/>
      <c r="E19" s="138"/>
      <c r="F19" s="139"/>
      <c r="G19" s="253" t="str">
        <f>закупки!CA33</f>
        <v>Сизова Л.Г.</v>
      </c>
      <c r="H19" s="138"/>
    </row>
    <row r="20" spans="1:21">
      <c r="A20" s="127" t="s">
        <v>182</v>
      </c>
      <c r="C20" s="141" t="s">
        <v>181</v>
      </c>
      <c r="D20" s="142"/>
      <c r="E20" s="141" t="s">
        <v>120</v>
      </c>
      <c r="F20" s="142"/>
      <c r="G20" s="646" t="s">
        <v>121</v>
      </c>
      <c r="H20" s="646"/>
    </row>
    <row r="25" spans="1:21">
      <c r="A25" s="647" t="str">
        <f>'план '!K8</f>
        <v>"15" июня 2020</v>
      </c>
      <c r="B25" s="647"/>
      <c r="C25" s="647"/>
      <c r="D25" s="647"/>
      <c r="E25" s="647"/>
    </row>
  </sheetData>
  <mergeCells count="10">
    <mergeCell ref="A16:B16"/>
    <mergeCell ref="A17:B17"/>
    <mergeCell ref="G17:H17"/>
    <mergeCell ref="G20:H20"/>
    <mergeCell ref="A25:E25"/>
    <mergeCell ref="A1:J1"/>
    <mergeCell ref="A2:A3"/>
    <mergeCell ref="B2:D2"/>
    <mergeCell ref="E2:G2"/>
    <mergeCell ref="H2:J2"/>
  </mergeCells>
  <pageMargins left="0.31496062992125984" right="0.31496062992125984" top="0.55118110236220474" bottom="0.55118110236220474" header="0.31496062992125984" footer="0.31496062992125984"/>
  <pageSetup paperSize="9" scale="6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5"/>
  <sheetViews>
    <sheetView showGridLines="0" view="pageBreakPreview" topLeftCell="A7" zoomScaleSheetLayoutView="100" workbookViewId="0">
      <selection activeCell="I19" sqref="I19"/>
    </sheetView>
  </sheetViews>
  <sheetFormatPr defaultColWidth="9.140625" defaultRowHeight="15"/>
  <cols>
    <col min="1" max="1" width="32.5703125" style="127" customWidth="1"/>
    <col min="2" max="10" width="13.28515625" style="127" customWidth="1"/>
    <col min="11" max="16384" width="9.140625" style="127"/>
  </cols>
  <sheetData>
    <row r="1" spans="1:10" ht="18.75" customHeight="1">
      <c r="I1" s="648" t="s">
        <v>280</v>
      </c>
      <c r="J1" s="648"/>
    </row>
    <row r="2" spans="1:10" ht="139.5" customHeight="1">
      <c r="H2" s="649" t="s">
        <v>281</v>
      </c>
      <c r="I2" s="649"/>
      <c r="J2" s="649"/>
    </row>
    <row r="3" spans="1:10" ht="26.25" customHeight="1">
      <c r="A3" s="639" t="s">
        <v>282</v>
      </c>
      <c r="B3" s="639"/>
      <c r="C3" s="639"/>
      <c r="D3" s="639"/>
      <c r="E3" s="639"/>
      <c r="F3" s="639"/>
      <c r="G3" s="639"/>
      <c r="H3" s="639"/>
      <c r="I3" s="639"/>
      <c r="J3" s="639"/>
    </row>
    <row r="4" spans="1:10" ht="45" customHeight="1">
      <c r="A4" s="640" t="s">
        <v>269</v>
      </c>
      <c r="B4" s="642" t="s">
        <v>271</v>
      </c>
      <c r="C4" s="643"/>
      <c r="D4" s="644"/>
      <c r="E4" s="642" t="s">
        <v>283</v>
      </c>
      <c r="F4" s="643"/>
      <c r="G4" s="644"/>
      <c r="H4" s="642" t="s">
        <v>272</v>
      </c>
      <c r="I4" s="643"/>
      <c r="J4" s="644"/>
    </row>
    <row r="5" spans="1:10" ht="60">
      <c r="A5" s="641"/>
      <c r="B5" s="198" t="s">
        <v>379</v>
      </c>
      <c r="C5" s="198" t="s">
        <v>380</v>
      </c>
      <c r="D5" s="198" t="s">
        <v>381</v>
      </c>
      <c r="E5" s="198" t="s">
        <v>379</v>
      </c>
      <c r="F5" s="198" t="s">
        <v>380</v>
      </c>
      <c r="G5" s="198" t="s">
        <v>381</v>
      </c>
      <c r="H5" s="198" t="s">
        <v>379</v>
      </c>
      <c r="I5" s="198" t="s">
        <v>380</v>
      </c>
      <c r="J5" s="198" t="s">
        <v>381</v>
      </c>
    </row>
    <row r="6" spans="1:10" ht="31.5" customHeight="1">
      <c r="A6" s="128" t="s">
        <v>273</v>
      </c>
      <c r="B6" s="128" t="s">
        <v>274</v>
      </c>
      <c r="C6" s="128" t="s">
        <v>274</v>
      </c>
      <c r="D6" s="128" t="s">
        <v>274</v>
      </c>
      <c r="E6" s="128" t="s">
        <v>274</v>
      </c>
      <c r="F6" s="128" t="s">
        <v>274</v>
      </c>
      <c r="G6" s="128" t="s">
        <v>274</v>
      </c>
      <c r="H6" s="129"/>
      <c r="I6" s="129"/>
      <c r="J6" s="129"/>
    </row>
    <row r="7" spans="1:10" ht="75.75" customHeight="1">
      <c r="A7" s="128" t="s">
        <v>275</v>
      </c>
      <c r="B7" s="128" t="s">
        <v>274</v>
      </c>
      <c r="C7" s="128" t="s">
        <v>274</v>
      </c>
      <c r="D7" s="128" t="s">
        <v>274</v>
      </c>
      <c r="E7" s="128" t="s">
        <v>274</v>
      </c>
      <c r="F7" s="128" t="s">
        <v>274</v>
      </c>
      <c r="G7" s="128" t="s">
        <v>274</v>
      </c>
      <c r="H7" s="129"/>
      <c r="I7" s="129"/>
      <c r="J7" s="129"/>
    </row>
    <row r="8" spans="1:10" s="132" customFormat="1" ht="22.5" customHeight="1">
      <c r="A8" s="130" t="s">
        <v>276</v>
      </c>
      <c r="B8" s="650"/>
      <c r="C8" s="651"/>
      <c r="D8" s="651"/>
      <c r="E8" s="651"/>
      <c r="F8" s="651"/>
      <c r="G8" s="652"/>
      <c r="H8" s="131"/>
      <c r="I8" s="131"/>
      <c r="J8" s="131"/>
    </row>
    <row r="9" spans="1:10" s="132" customFormat="1" ht="12" customHeight="1">
      <c r="A9" s="133" t="s">
        <v>29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10" ht="45">
      <c r="A10" s="133" t="s">
        <v>378</v>
      </c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0" s="132" customFormat="1" ht="21" customHeight="1">
      <c r="A11" s="130" t="s">
        <v>278</v>
      </c>
      <c r="B11" s="650"/>
      <c r="C11" s="651"/>
      <c r="D11" s="651"/>
      <c r="E11" s="651"/>
      <c r="F11" s="651"/>
      <c r="G11" s="652"/>
      <c r="H11" s="131">
        <f>SUM(H13:H13)</f>
        <v>0</v>
      </c>
      <c r="I11" s="131">
        <f>SUM(I13:I13)</f>
        <v>0</v>
      </c>
      <c r="J11" s="131">
        <f>SUM(J13:J13)</f>
        <v>0</v>
      </c>
    </row>
    <row r="12" spans="1:10" s="132" customFormat="1" ht="12.75" customHeight="1">
      <c r="A12" s="133" t="s">
        <v>29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0">
      <c r="A13" s="128" t="s">
        <v>277</v>
      </c>
      <c r="B13" s="134"/>
      <c r="C13" s="134"/>
      <c r="D13" s="134"/>
      <c r="E13" s="134"/>
      <c r="F13" s="134"/>
      <c r="G13" s="134"/>
      <c r="H13" s="134">
        <f>B13*E13</f>
        <v>0</v>
      </c>
      <c r="I13" s="134">
        <f t="shared" ref="I13:J13" si="0">C13*F13</f>
        <v>0</v>
      </c>
      <c r="J13" s="134">
        <f t="shared" si="0"/>
        <v>0</v>
      </c>
    </row>
    <row r="14" spans="1:10" s="137" customFormat="1" ht="31.5" customHeight="1">
      <c r="A14" s="135" t="s">
        <v>279</v>
      </c>
      <c r="B14" s="128" t="s">
        <v>274</v>
      </c>
      <c r="C14" s="128" t="s">
        <v>274</v>
      </c>
      <c r="D14" s="128" t="s">
        <v>274</v>
      </c>
      <c r="E14" s="128" t="s">
        <v>274</v>
      </c>
      <c r="F14" s="128" t="s">
        <v>274</v>
      </c>
      <c r="G14" s="128" t="s">
        <v>274</v>
      </c>
      <c r="H14" s="136">
        <f>H8+H11+H7+H6</f>
        <v>0</v>
      </c>
      <c r="I14" s="136">
        <f>I8+I11+I7+I6</f>
        <v>0</v>
      </c>
      <c r="J14" s="136">
        <f>J8+J11+J7+J6</f>
        <v>0</v>
      </c>
    </row>
    <row r="16" spans="1:10" ht="8.25" customHeight="1"/>
    <row r="17" spans="1:21" ht="16.5" customHeight="1">
      <c r="A17" s="645" t="s">
        <v>179</v>
      </c>
      <c r="B17" s="645"/>
      <c r="C17" s="138" t="str">
        <f>закупки!AQ30</f>
        <v>Заведующий</v>
      </c>
      <c r="D17" s="139"/>
      <c r="E17" s="138"/>
      <c r="F17" s="139"/>
      <c r="G17" s="138" t="str">
        <f>аренда!G16</f>
        <v>Ускова Н.П.</v>
      </c>
      <c r="H17" s="138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40"/>
    </row>
    <row r="18" spans="1:21" ht="17.25" customHeight="1">
      <c r="A18" s="645" t="s">
        <v>180</v>
      </c>
      <c r="B18" s="645"/>
      <c r="C18" s="141" t="s">
        <v>181</v>
      </c>
      <c r="D18" s="142"/>
      <c r="E18" s="141" t="s">
        <v>120</v>
      </c>
      <c r="F18" s="142"/>
      <c r="G18" s="646" t="s">
        <v>121</v>
      </c>
      <c r="H18" s="646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0"/>
    </row>
    <row r="19" spans="1:21">
      <c r="A19" s="143"/>
    </row>
    <row r="20" spans="1:21">
      <c r="C20" s="138" t="str">
        <f>аренда!C19</f>
        <v>Главный бухгалтер</v>
      </c>
      <c r="D20" s="139"/>
      <c r="E20" s="138"/>
      <c r="F20" s="139"/>
      <c r="G20" s="253" t="str">
        <f>аренда!G19</f>
        <v>Сизова Л.Г.</v>
      </c>
      <c r="H20" s="138"/>
    </row>
    <row r="21" spans="1:21">
      <c r="A21" s="127" t="s">
        <v>182</v>
      </c>
      <c r="C21" s="141" t="s">
        <v>181</v>
      </c>
      <c r="D21" s="142"/>
      <c r="E21" s="141" t="s">
        <v>120</v>
      </c>
      <c r="F21" s="142"/>
      <c r="G21" s="646" t="s">
        <v>121</v>
      </c>
      <c r="H21" s="646"/>
    </row>
    <row r="23" spans="1:21" ht="8.25" customHeight="1"/>
    <row r="24" spans="1:21" ht="11.25" customHeight="1"/>
    <row r="25" spans="1:21">
      <c r="A25" s="647" t="str">
        <f>аренда!A25</f>
        <v>"15" июня 2020</v>
      </c>
      <c r="B25" s="647"/>
      <c r="C25" s="647"/>
      <c r="D25" s="647"/>
      <c r="E25" s="647"/>
    </row>
  </sheetData>
  <mergeCells count="14">
    <mergeCell ref="A25:E25"/>
    <mergeCell ref="B8:G8"/>
    <mergeCell ref="B11:G11"/>
    <mergeCell ref="A17:B17"/>
    <mergeCell ref="A18:B18"/>
    <mergeCell ref="G18:H18"/>
    <mergeCell ref="G21:H21"/>
    <mergeCell ref="I1:J1"/>
    <mergeCell ref="H2:J2"/>
    <mergeCell ref="A3:J3"/>
    <mergeCell ref="A4:A5"/>
    <mergeCell ref="B4:D4"/>
    <mergeCell ref="E4:G4"/>
    <mergeCell ref="H4:J4"/>
  </mergeCells>
  <pageMargins left="0.31496062992125984" right="0.31496062992125984" top="0.55118110236220474" bottom="0.55118110236220474" header="0.31496062992125984" footer="0.31496062992125984"/>
  <pageSetup paperSize="9" scale="7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5"/>
  <sheetViews>
    <sheetView showGridLines="0" view="pageBreakPreview" topLeftCell="A24" zoomScale="82" zoomScaleSheetLayoutView="82" workbookViewId="0">
      <selection activeCell="N34" sqref="N34"/>
    </sheetView>
  </sheetViews>
  <sheetFormatPr defaultColWidth="9.140625" defaultRowHeight="15"/>
  <cols>
    <col min="1" max="1" width="21.42578125" style="288" customWidth="1"/>
    <col min="2" max="2" width="14.7109375" style="288" customWidth="1"/>
    <col min="3" max="3" width="13.42578125" style="288" customWidth="1"/>
    <col min="4" max="4" width="12.28515625" style="288" customWidth="1"/>
    <col min="5" max="5" width="10.5703125" style="288" customWidth="1"/>
    <col min="6" max="7" width="9.140625" style="288" customWidth="1"/>
    <col min="8" max="8" width="11" style="288" customWidth="1"/>
    <col min="9" max="14" width="11.28515625" style="288" customWidth="1"/>
    <col min="15" max="17" width="12.140625" style="288" customWidth="1"/>
    <col min="18" max="18" width="12" style="288" bestFit="1" customWidth="1"/>
    <col min="19" max="16384" width="9.140625" style="288"/>
  </cols>
  <sheetData>
    <row r="1" spans="1:19" ht="21.75" customHeight="1">
      <c r="A1" s="639" t="s">
        <v>284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</row>
    <row r="2" spans="1:19" ht="14.25" customHeight="1">
      <c r="A2" s="659" t="s">
        <v>269</v>
      </c>
      <c r="B2" s="656" t="s">
        <v>285</v>
      </c>
      <c r="C2" s="656"/>
      <c r="D2" s="656"/>
      <c r="E2" s="662" t="s">
        <v>286</v>
      </c>
      <c r="F2" s="659"/>
      <c r="G2" s="659"/>
      <c r="H2" s="663"/>
      <c r="I2" s="656" t="s">
        <v>287</v>
      </c>
      <c r="J2" s="656"/>
      <c r="K2" s="656"/>
      <c r="L2" s="656" t="s">
        <v>288</v>
      </c>
      <c r="M2" s="656"/>
      <c r="N2" s="656"/>
      <c r="O2" s="656" t="s">
        <v>272</v>
      </c>
      <c r="P2" s="656"/>
      <c r="Q2" s="656"/>
    </row>
    <row r="3" spans="1:19" ht="25.5" customHeight="1">
      <c r="A3" s="660"/>
      <c r="B3" s="656" t="s">
        <v>289</v>
      </c>
      <c r="C3" s="656"/>
      <c r="D3" s="656"/>
      <c r="E3" s="664"/>
      <c r="F3" s="661"/>
      <c r="G3" s="661"/>
      <c r="H3" s="665"/>
      <c r="I3" s="656"/>
      <c r="J3" s="656"/>
      <c r="K3" s="656"/>
      <c r="L3" s="656"/>
      <c r="M3" s="656"/>
      <c r="N3" s="656"/>
      <c r="O3" s="656"/>
      <c r="P3" s="656"/>
      <c r="Q3" s="656"/>
    </row>
    <row r="4" spans="1:19" ht="138" customHeight="1">
      <c r="A4" s="661"/>
      <c r="B4" s="290" t="s">
        <v>383</v>
      </c>
      <c r="C4" s="290" t="s">
        <v>384</v>
      </c>
      <c r="D4" s="290" t="s">
        <v>385</v>
      </c>
      <c r="E4" s="290" t="s">
        <v>383</v>
      </c>
      <c r="F4" s="290" t="s">
        <v>384</v>
      </c>
      <c r="G4" s="290" t="s">
        <v>385</v>
      </c>
      <c r="H4" s="290" t="s">
        <v>386</v>
      </c>
      <c r="I4" s="290" t="s">
        <v>379</v>
      </c>
      <c r="J4" s="290" t="s">
        <v>380</v>
      </c>
      <c r="K4" s="290" t="s">
        <v>382</v>
      </c>
      <c r="L4" s="290" t="s">
        <v>379</v>
      </c>
      <c r="M4" s="290" t="s">
        <v>380</v>
      </c>
      <c r="N4" s="290" t="s">
        <v>382</v>
      </c>
      <c r="O4" s="290" t="s">
        <v>379</v>
      </c>
      <c r="P4" s="290" t="s">
        <v>380</v>
      </c>
      <c r="Q4" s="290" t="s">
        <v>382</v>
      </c>
    </row>
    <row r="5" spans="1:19" ht="46.5" customHeight="1">
      <c r="A5" s="254" t="s">
        <v>387</v>
      </c>
      <c r="B5" s="129" t="s">
        <v>274</v>
      </c>
      <c r="C5" s="129" t="s">
        <v>274</v>
      </c>
      <c r="D5" s="129" t="s">
        <v>274</v>
      </c>
      <c r="E5" s="129" t="s">
        <v>274</v>
      </c>
      <c r="F5" s="129" t="s">
        <v>274</v>
      </c>
      <c r="G5" s="129" t="s">
        <v>274</v>
      </c>
      <c r="H5" s="129" t="s">
        <v>274</v>
      </c>
      <c r="I5" s="129" t="s">
        <v>274</v>
      </c>
      <c r="J5" s="129" t="s">
        <v>274</v>
      </c>
      <c r="K5" s="129" t="s">
        <v>274</v>
      </c>
      <c r="L5" s="129" t="s">
        <v>274</v>
      </c>
      <c r="M5" s="129" t="s">
        <v>274</v>
      </c>
      <c r="N5" s="129" t="s">
        <v>274</v>
      </c>
      <c r="O5" s="129">
        <v>54183.83</v>
      </c>
      <c r="P5" s="129">
        <v>0</v>
      </c>
      <c r="Q5" s="129">
        <v>0</v>
      </c>
    </row>
    <row r="6" spans="1:19" ht="123" customHeight="1">
      <c r="A6" s="254" t="s">
        <v>388</v>
      </c>
      <c r="B6" s="129" t="s">
        <v>274</v>
      </c>
      <c r="C6" s="129" t="s">
        <v>274</v>
      </c>
      <c r="D6" s="129" t="s">
        <v>274</v>
      </c>
      <c r="E6" s="129" t="s">
        <v>274</v>
      </c>
      <c r="F6" s="129" t="s">
        <v>274</v>
      </c>
      <c r="G6" s="129" t="s">
        <v>274</v>
      </c>
      <c r="H6" s="129" t="s">
        <v>274</v>
      </c>
      <c r="I6" s="129" t="s">
        <v>274</v>
      </c>
      <c r="J6" s="129" t="s">
        <v>274</v>
      </c>
      <c r="K6" s="129" t="s">
        <v>274</v>
      </c>
      <c r="L6" s="129" t="s">
        <v>274</v>
      </c>
      <c r="M6" s="129" t="s">
        <v>274</v>
      </c>
      <c r="N6" s="129" t="s">
        <v>274</v>
      </c>
      <c r="O6" s="129">
        <v>0</v>
      </c>
      <c r="P6" s="129">
        <v>0</v>
      </c>
      <c r="Q6" s="129">
        <v>0</v>
      </c>
    </row>
    <row r="7" spans="1:19" ht="25.5" customHeight="1">
      <c r="A7" s="255" t="s">
        <v>403</v>
      </c>
      <c r="B7" s="301">
        <v>31680</v>
      </c>
      <c r="C7" s="301">
        <v>34000</v>
      </c>
      <c r="D7" s="301">
        <v>19120</v>
      </c>
      <c r="E7" s="134">
        <v>64</v>
      </c>
      <c r="F7" s="134">
        <v>64</v>
      </c>
      <c r="G7" s="134">
        <v>64</v>
      </c>
      <c r="H7" s="134">
        <f>ROUND((E7+F7+G7)/3,1)</f>
        <v>64</v>
      </c>
      <c r="I7" s="134">
        <v>8</v>
      </c>
      <c r="J7" s="134">
        <v>9</v>
      </c>
      <c r="K7" s="134">
        <v>9</v>
      </c>
      <c r="L7" s="134">
        <f>80</f>
        <v>80</v>
      </c>
      <c r="M7" s="134">
        <v>80</v>
      </c>
      <c r="N7" s="134">
        <v>80</v>
      </c>
      <c r="O7" s="134">
        <f>I7*H7*L7</f>
        <v>40960</v>
      </c>
      <c r="P7" s="134">
        <f t="shared" ref="P7:P27" si="0">J7*H7*M7</f>
        <v>46080</v>
      </c>
      <c r="Q7" s="134">
        <f t="shared" ref="Q7:Q27" si="1">K7*H7*N7</f>
        <v>46080</v>
      </c>
    </row>
    <row r="8" spans="1:19" ht="21.75" customHeight="1">
      <c r="A8" s="255" t="s">
        <v>404</v>
      </c>
      <c r="B8" s="301">
        <v>103232</v>
      </c>
      <c r="C8" s="301">
        <v>38956</v>
      </c>
      <c r="D8" s="301">
        <v>35190</v>
      </c>
      <c r="E8" s="134">
        <v>64</v>
      </c>
      <c r="F8" s="134">
        <v>64</v>
      </c>
      <c r="G8" s="134">
        <v>64</v>
      </c>
      <c r="H8" s="134">
        <f t="shared" ref="H8:H27" si="2">ROUND((E8+F8+G8)/3,1)</f>
        <v>64</v>
      </c>
      <c r="I8" s="134">
        <v>9</v>
      </c>
      <c r="J8" s="134">
        <v>10</v>
      </c>
      <c r="K8" s="134">
        <v>10</v>
      </c>
      <c r="L8" s="134">
        <f>80</f>
        <v>80</v>
      </c>
      <c r="M8" s="134">
        <v>80</v>
      </c>
      <c r="N8" s="134">
        <v>80</v>
      </c>
      <c r="O8" s="134">
        <f>I8*H8*L8</f>
        <v>46080</v>
      </c>
      <c r="P8" s="134">
        <f t="shared" si="0"/>
        <v>51200</v>
      </c>
      <c r="Q8" s="134">
        <f t="shared" si="1"/>
        <v>51200</v>
      </c>
      <c r="S8" s="386"/>
    </row>
    <row r="9" spans="1:19" ht="24" customHeight="1">
      <c r="A9" s="255" t="s">
        <v>405</v>
      </c>
      <c r="B9" s="301">
        <v>97224.25</v>
      </c>
      <c r="C9" s="301">
        <v>37057</v>
      </c>
      <c r="D9" s="301">
        <v>29020</v>
      </c>
      <c r="E9" s="134">
        <v>64</v>
      </c>
      <c r="F9" s="134">
        <v>64</v>
      </c>
      <c r="G9" s="134">
        <v>64</v>
      </c>
      <c r="H9" s="134">
        <f t="shared" si="2"/>
        <v>64</v>
      </c>
      <c r="I9" s="134">
        <v>9</v>
      </c>
      <c r="J9" s="134">
        <v>10</v>
      </c>
      <c r="K9" s="134">
        <v>10</v>
      </c>
      <c r="L9" s="134">
        <f>80</f>
        <v>80</v>
      </c>
      <c r="M9" s="134">
        <v>80</v>
      </c>
      <c r="N9" s="134">
        <v>80</v>
      </c>
      <c r="O9" s="134">
        <f>I9*H9*L9+685</f>
        <v>46765</v>
      </c>
      <c r="P9" s="134">
        <f t="shared" si="0"/>
        <v>51200</v>
      </c>
      <c r="Q9" s="134">
        <f t="shared" si="1"/>
        <v>51200</v>
      </c>
      <c r="S9" s="386"/>
    </row>
    <row r="10" spans="1:19" ht="15" customHeight="1">
      <c r="A10" s="255" t="s">
        <v>406</v>
      </c>
      <c r="B10" s="301">
        <v>128250</v>
      </c>
      <c r="C10" s="301">
        <v>31730</v>
      </c>
      <c r="D10" s="301">
        <v>54775</v>
      </c>
      <c r="E10" s="134">
        <v>64</v>
      </c>
      <c r="F10" s="134">
        <v>64</v>
      </c>
      <c r="G10" s="134">
        <v>64</v>
      </c>
      <c r="H10" s="134">
        <f t="shared" si="2"/>
        <v>64</v>
      </c>
      <c r="I10" s="134">
        <v>10</v>
      </c>
      <c r="J10" s="134">
        <v>10</v>
      </c>
      <c r="K10" s="134">
        <v>10</v>
      </c>
      <c r="L10" s="134">
        <f>80</f>
        <v>80</v>
      </c>
      <c r="M10" s="134">
        <v>80</v>
      </c>
      <c r="N10" s="134">
        <v>80</v>
      </c>
      <c r="O10" s="134">
        <f t="shared" ref="O10:O29" si="3">I10*H10*L10</f>
        <v>51200</v>
      </c>
      <c r="P10" s="134">
        <f t="shared" si="0"/>
        <v>51200</v>
      </c>
      <c r="Q10" s="134">
        <f t="shared" si="1"/>
        <v>51200</v>
      </c>
    </row>
    <row r="11" spans="1:19" ht="30" customHeight="1">
      <c r="A11" s="255" t="s">
        <v>407</v>
      </c>
      <c r="B11" s="301">
        <v>57280</v>
      </c>
      <c r="C11" s="301">
        <v>56880</v>
      </c>
      <c r="D11" s="301">
        <v>62800</v>
      </c>
      <c r="E11" s="134">
        <v>65</v>
      </c>
      <c r="F11" s="134">
        <v>65</v>
      </c>
      <c r="G11" s="134">
        <v>65</v>
      </c>
      <c r="H11" s="134">
        <f t="shared" si="2"/>
        <v>65</v>
      </c>
      <c r="I11" s="134">
        <v>10</v>
      </c>
      <c r="J11" s="134">
        <v>10</v>
      </c>
      <c r="K11" s="134">
        <v>10</v>
      </c>
      <c r="L11" s="134">
        <f>80</f>
        <v>80</v>
      </c>
      <c r="M11" s="134">
        <v>80</v>
      </c>
      <c r="N11" s="134">
        <v>80</v>
      </c>
      <c r="O11" s="134">
        <f t="shared" si="3"/>
        <v>52000</v>
      </c>
      <c r="P11" s="134">
        <f t="shared" si="0"/>
        <v>52000</v>
      </c>
      <c r="Q11" s="134">
        <f t="shared" si="1"/>
        <v>52000</v>
      </c>
    </row>
    <row r="12" spans="1:19" ht="45" customHeight="1">
      <c r="A12" s="255" t="s">
        <v>408</v>
      </c>
      <c r="B12" s="301">
        <v>127230</v>
      </c>
      <c r="C12" s="301">
        <v>105530</v>
      </c>
      <c r="D12" s="134">
        <v>89000</v>
      </c>
      <c r="E12" s="134">
        <v>64</v>
      </c>
      <c r="F12" s="134">
        <v>64</v>
      </c>
      <c r="G12" s="134">
        <v>64</v>
      </c>
      <c r="H12" s="134">
        <f t="shared" si="2"/>
        <v>64</v>
      </c>
      <c r="I12" s="134">
        <v>11</v>
      </c>
      <c r="J12" s="134">
        <v>11</v>
      </c>
      <c r="K12" s="134">
        <v>11</v>
      </c>
      <c r="L12" s="134">
        <f>80</f>
        <v>80</v>
      </c>
      <c r="M12" s="134">
        <v>80</v>
      </c>
      <c r="N12" s="134">
        <v>80</v>
      </c>
      <c r="O12" s="134">
        <f t="shared" si="3"/>
        <v>56320</v>
      </c>
      <c r="P12" s="134">
        <f t="shared" si="0"/>
        <v>56320</v>
      </c>
      <c r="Q12" s="134">
        <f t="shared" si="1"/>
        <v>56320</v>
      </c>
    </row>
    <row r="13" spans="1:19" ht="42" customHeight="1">
      <c r="A13" s="255" t="s">
        <v>409</v>
      </c>
      <c r="B13" s="301">
        <v>163400</v>
      </c>
      <c r="C13" s="301">
        <v>140520</v>
      </c>
      <c r="D13" s="134">
        <v>144535</v>
      </c>
      <c r="E13" s="134">
        <v>65</v>
      </c>
      <c r="F13" s="134">
        <v>65</v>
      </c>
      <c r="G13" s="134">
        <v>65</v>
      </c>
      <c r="H13" s="134">
        <f t="shared" si="2"/>
        <v>65</v>
      </c>
      <c r="I13" s="134">
        <v>11</v>
      </c>
      <c r="J13" s="134">
        <v>11</v>
      </c>
      <c r="K13" s="134">
        <v>11</v>
      </c>
      <c r="L13" s="134">
        <f>80</f>
        <v>80</v>
      </c>
      <c r="M13" s="134">
        <v>80</v>
      </c>
      <c r="N13" s="134">
        <v>80</v>
      </c>
      <c r="O13" s="134">
        <f>I13*H13*L13</f>
        <v>57200</v>
      </c>
      <c r="P13" s="134">
        <f t="shared" si="0"/>
        <v>57200</v>
      </c>
      <c r="Q13" s="134">
        <f t="shared" si="1"/>
        <v>57200</v>
      </c>
    </row>
    <row r="14" spans="1:19" ht="63.75" customHeight="1">
      <c r="A14" s="255" t="s">
        <v>410</v>
      </c>
      <c r="B14" s="301">
        <v>26945</v>
      </c>
      <c r="C14" s="301">
        <v>49920</v>
      </c>
      <c r="D14" s="134">
        <v>73235</v>
      </c>
      <c r="E14" s="134">
        <v>65</v>
      </c>
      <c r="F14" s="134">
        <v>65</v>
      </c>
      <c r="G14" s="134">
        <v>65</v>
      </c>
      <c r="H14" s="134">
        <f t="shared" si="2"/>
        <v>65</v>
      </c>
      <c r="I14" s="134">
        <v>11</v>
      </c>
      <c r="J14" s="134">
        <v>11</v>
      </c>
      <c r="K14" s="134">
        <v>11</v>
      </c>
      <c r="L14" s="134">
        <v>95</v>
      </c>
      <c r="M14" s="134">
        <v>95</v>
      </c>
      <c r="N14" s="134">
        <v>95</v>
      </c>
      <c r="O14" s="134">
        <f t="shared" si="3"/>
        <v>67925</v>
      </c>
      <c r="P14" s="134">
        <f t="shared" si="0"/>
        <v>67925</v>
      </c>
      <c r="Q14" s="134">
        <f t="shared" si="1"/>
        <v>67925</v>
      </c>
    </row>
    <row r="15" spans="1:19" ht="64.5" customHeight="1">
      <c r="A15" s="255" t="s">
        <v>411</v>
      </c>
      <c r="B15" s="301">
        <v>13395</v>
      </c>
      <c r="C15" s="301">
        <v>15282</v>
      </c>
      <c r="D15" s="134">
        <v>25422.55</v>
      </c>
      <c r="E15" s="134">
        <v>64</v>
      </c>
      <c r="F15" s="134">
        <v>64</v>
      </c>
      <c r="G15" s="134">
        <v>64</v>
      </c>
      <c r="H15" s="145">
        <f t="shared" si="2"/>
        <v>64</v>
      </c>
      <c r="I15" s="134">
        <v>10</v>
      </c>
      <c r="J15" s="134">
        <v>10</v>
      </c>
      <c r="K15" s="134">
        <v>10</v>
      </c>
      <c r="L15" s="134">
        <v>95</v>
      </c>
      <c r="M15" s="134">
        <v>95</v>
      </c>
      <c r="N15" s="134">
        <v>95</v>
      </c>
      <c r="O15" s="134">
        <f t="shared" si="3"/>
        <v>60800</v>
      </c>
      <c r="P15" s="134">
        <f t="shared" si="0"/>
        <v>60800</v>
      </c>
      <c r="Q15" s="134">
        <f t="shared" si="1"/>
        <v>60800</v>
      </c>
    </row>
    <row r="16" spans="1:19" ht="64.5" customHeight="1">
      <c r="A16" s="255" t="s">
        <v>412</v>
      </c>
      <c r="B16" s="301">
        <v>36620</v>
      </c>
      <c r="C16" s="301">
        <v>77275</v>
      </c>
      <c r="D16" s="134">
        <v>102400</v>
      </c>
      <c r="E16" s="134">
        <v>65</v>
      </c>
      <c r="F16" s="134">
        <v>65</v>
      </c>
      <c r="G16" s="134">
        <v>65</v>
      </c>
      <c r="H16" s="145">
        <f t="shared" si="2"/>
        <v>65</v>
      </c>
      <c r="I16" s="134">
        <v>9</v>
      </c>
      <c r="J16" s="134">
        <v>10</v>
      </c>
      <c r="K16" s="134">
        <v>10</v>
      </c>
      <c r="L16" s="134">
        <v>95</v>
      </c>
      <c r="M16" s="134">
        <v>95</v>
      </c>
      <c r="N16" s="134">
        <v>95</v>
      </c>
      <c r="O16" s="134">
        <f t="shared" si="3"/>
        <v>55575</v>
      </c>
      <c r="P16" s="134">
        <f t="shared" si="0"/>
        <v>61750</v>
      </c>
      <c r="Q16" s="134">
        <f t="shared" si="1"/>
        <v>61750</v>
      </c>
    </row>
    <row r="17" spans="1:19" ht="64.5" customHeight="1">
      <c r="A17" s="255" t="s">
        <v>413</v>
      </c>
      <c r="B17" s="301">
        <v>18525</v>
      </c>
      <c r="C17" s="301">
        <v>27360</v>
      </c>
      <c r="D17" s="134">
        <v>37011</v>
      </c>
      <c r="E17" s="134">
        <v>64</v>
      </c>
      <c r="F17" s="134">
        <v>64</v>
      </c>
      <c r="G17" s="134">
        <v>64</v>
      </c>
      <c r="H17" s="145">
        <f t="shared" si="2"/>
        <v>64</v>
      </c>
      <c r="I17" s="134">
        <v>10</v>
      </c>
      <c r="J17" s="134">
        <v>10</v>
      </c>
      <c r="K17" s="134">
        <v>10</v>
      </c>
      <c r="L17" s="134">
        <v>95</v>
      </c>
      <c r="M17" s="134">
        <v>95</v>
      </c>
      <c r="N17" s="134">
        <v>95</v>
      </c>
      <c r="O17" s="134">
        <f t="shared" si="3"/>
        <v>60800</v>
      </c>
      <c r="P17" s="134">
        <f t="shared" si="0"/>
        <v>60800</v>
      </c>
      <c r="Q17" s="134">
        <f t="shared" si="1"/>
        <v>60800</v>
      </c>
    </row>
    <row r="18" spans="1:19" ht="64.5" customHeight="1">
      <c r="A18" s="255" t="s">
        <v>414</v>
      </c>
      <c r="B18" s="301">
        <v>0</v>
      </c>
      <c r="C18" s="301">
        <v>0</v>
      </c>
      <c r="D18" s="134">
        <v>10165</v>
      </c>
      <c r="E18" s="134">
        <v>64</v>
      </c>
      <c r="F18" s="134">
        <v>64</v>
      </c>
      <c r="G18" s="134">
        <v>64</v>
      </c>
      <c r="H18" s="145">
        <f t="shared" si="2"/>
        <v>64</v>
      </c>
      <c r="I18" s="134">
        <v>10</v>
      </c>
      <c r="J18" s="134">
        <v>10</v>
      </c>
      <c r="K18" s="134">
        <v>10</v>
      </c>
      <c r="L18" s="134">
        <v>95</v>
      </c>
      <c r="M18" s="134">
        <v>95</v>
      </c>
      <c r="N18" s="134">
        <v>95</v>
      </c>
      <c r="O18" s="134">
        <f t="shared" si="3"/>
        <v>60800</v>
      </c>
      <c r="P18" s="134">
        <f t="shared" si="0"/>
        <v>60800</v>
      </c>
      <c r="Q18" s="134">
        <f t="shared" si="1"/>
        <v>60800</v>
      </c>
    </row>
    <row r="19" spans="1:19" ht="64.5" customHeight="1">
      <c r="A19" s="255" t="s">
        <v>415</v>
      </c>
      <c r="B19" s="301">
        <v>0</v>
      </c>
      <c r="C19" s="301">
        <v>35055</v>
      </c>
      <c r="D19" s="134">
        <v>29220</v>
      </c>
      <c r="E19" s="134">
        <v>64</v>
      </c>
      <c r="F19" s="134">
        <v>64</v>
      </c>
      <c r="G19" s="134">
        <v>64</v>
      </c>
      <c r="H19" s="145">
        <f t="shared" si="2"/>
        <v>64</v>
      </c>
      <c r="I19" s="134">
        <v>10</v>
      </c>
      <c r="J19" s="134">
        <v>10</v>
      </c>
      <c r="K19" s="134">
        <v>10</v>
      </c>
      <c r="L19" s="134">
        <v>95</v>
      </c>
      <c r="M19" s="134">
        <v>95</v>
      </c>
      <c r="N19" s="134">
        <v>95</v>
      </c>
      <c r="O19" s="134">
        <f t="shared" si="3"/>
        <v>60800</v>
      </c>
      <c r="P19" s="134">
        <f t="shared" si="0"/>
        <v>60800</v>
      </c>
      <c r="Q19" s="134">
        <f t="shared" si="1"/>
        <v>60800</v>
      </c>
    </row>
    <row r="20" spans="1:19" ht="64.5" customHeight="1">
      <c r="A20" s="255" t="s">
        <v>416</v>
      </c>
      <c r="B20" s="301">
        <v>35340</v>
      </c>
      <c r="C20" s="301">
        <v>89050</v>
      </c>
      <c r="D20" s="134">
        <v>48480</v>
      </c>
      <c r="E20" s="134">
        <v>64</v>
      </c>
      <c r="F20" s="134">
        <v>64</v>
      </c>
      <c r="G20" s="134">
        <v>64</v>
      </c>
      <c r="H20" s="145">
        <f t="shared" si="2"/>
        <v>64</v>
      </c>
      <c r="I20" s="134">
        <v>10</v>
      </c>
      <c r="J20" s="134">
        <v>10</v>
      </c>
      <c r="K20" s="134">
        <v>10</v>
      </c>
      <c r="L20" s="134">
        <v>95</v>
      </c>
      <c r="M20" s="134">
        <v>95</v>
      </c>
      <c r="N20" s="134">
        <v>95</v>
      </c>
      <c r="O20" s="134">
        <f t="shared" si="3"/>
        <v>60800</v>
      </c>
      <c r="P20" s="134">
        <f t="shared" si="0"/>
        <v>60800</v>
      </c>
      <c r="Q20" s="134">
        <f t="shared" si="1"/>
        <v>60800</v>
      </c>
    </row>
    <row r="21" spans="1:19" ht="64.5" customHeight="1">
      <c r="A21" s="255" t="s">
        <v>417</v>
      </c>
      <c r="B21" s="301">
        <v>45445</v>
      </c>
      <c r="C21" s="301">
        <v>59370</v>
      </c>
      <c r="D21" s="134">
        <v>61460</v>
      </c>
      <c r="E21" s="134">
        <v>64</v>
      </c>
      <c r="F21" s="134">
        <v>64</v>
      </c>
      <c r="G21" s="134">
        <v>64</v>
      </c>
      <c r="H21" s="145">
        <f t="shared" si="2"/>
        <v>64</v>
      </c>
      <c r="I21" s="134">
        <v>9</v>
      </c>
      <c r="J21" s="134">
        <v>10</v>
      </c>
      <c r="K21" s="134">
        <v>10</v>
      </c>
      <c r="L21" s="134">
        <v>95</v>
      </c>
      <c r="M21" s="134">
        <v>95</v>
      </c>
      <c r="N21" s="134">
        <v>95</v>
      </c>
      <c r="O21" s="134">
        <f t="shared" si="3"/>
        <v>54720</v>
      </c>
      <c r="P21" s="134">
        <f t="shared" si="0"/>
        <v>60800</v>
      </c>
      <c r="Q21" s="134">
        <f t="shared" si="1"/>
        <v>60800</v>
      </c>
    </row>
    <row r="22" spans="1:19" ht="64.5" customHeight="1">
      <c r="A22" s="255" t="s">
        <v>418</v>
      </c>
      <c r="B22" s="301">
        <v>37826.42</v>
      </c>
      <c r="C22" s="301">
        <v>89584</v>
      </c>
      <c r="D22" s="134">
        <v>92255</v>
      </c>
      <c r="E22" s="134">
        <v>65</v>
      </c>
      <c r="F22" s="134">
        <v>65</v>
      </c>
      <c r="G22" s="134">
        <v>65</v>
      </c>
      <c r="H22" s="145">
        <f t="shared" si="2"/>
        <v>65</v>
      </c>
      <c r="I22" s="134">
        <v>9</v>
      </c>
      <c r="J22" s="134">
        <v>10</v>
      </c>
      <c r="K22" s="134">
        <v>10</v>
      </c>
      <c r="L22" s="134">
        <v>95</v>
      </c>
      <c r="M22" s="134">
        <v>95</v>
      </c>
      <c r="N22" s="134">
        <v>95</v>
      </c>
      <c r="O22" s="134">
        <f t="shared" si="3"/>
        <v>55575</v>
      </c>
      <c r="P22" s="134">
        <f t="shared" si="0"/>
        <v>61750</v>
      </c>
      <c r="Q22" s="134">
        <f t="shared" si="1"/>
        <v>61750</v>
      </c>
    </row>
    <row r="23" spans="1:19" ht="64.5" customHeight="1">
      <c r="A23" s="255" t="s">
        <v>419</v>
      </c>
      <c r="B23" s="301">
        <v>17765</v>
      </c>
      <c r="C23" s="301">
        <v>58730</v>
      </c>
      <c r="D23" s="134">
        <v>61140</v>
      </c>
      <c r="E23" s="134">
        <v>64</v>
      </c>
      <c r="F23" s="134">
        <v>64</v>
      </c>
      <c r="G23" s="134">
        <v>64</v>
      </c>
      <c r="H23" s="145">
        <f t="shared" si="2"/>
        <v>64</v>
      </c>
      <c r="I23" s="134">
        <v>10</v>
      </c>
      <c r="J23" s="134">
        <v>10</v>
      </c>
      <c r="K23" s="134">
        <v>10</v>
      </c>
      <c r="L23" s="134">
        <v>95</v>
      </c>
      <c r="M23" s="134">
        <v>95</v>
      </c>
      <c r="N23" s="134">
        <v>95</v>
      </c>
      <c r="O23" s="134">
        <f t="shared" si="3"/>
        <v>60800</v>
      </c>
      <c r="P23" s="134">
        <f t="shared" si="0"/>
        <v>60800</v>
      </c>
      <c r="Q23" s="134">
        <f t="shared" si="1"/>
        <v>60800</v>
      </c>
    </row>
    <row r="24" spans="1:19" ht="64.5" customHeight="1">
      <c r="A24" s="255" t="s">
        <v>420</v>
      </c>
      <c r="B24" s="301">
        <v>21135</v>
      </c>
      <c r="C24" s="301">
        <v>28025</v>
      </c>
      <c r="D24" s="134">
        <v>31415</v>
      </c>
      <c r="E24" s="134">
        <v>64</v>
      </c>
      <c r="F24" s="134">
        <v>64</v>
      </c>
      <c r="G24" s="134">
        <v>64</v>
      </c>
      <c r="H24" s="145">
        <f t="shared" si="2"/>
        <v>64</v>
      </c>
      <c r="I24" s="134">
        <v>9</v>
      </c>
      <c r="J24" s="134">
        <v>10</v>
      </c>
      <c r="K24" s="134">
        <v>10</v>
      </c>
      <c r="L24" s="134">
        <v>95</v>
      </c>
      <c r="M24" s="134">
        <v>95</v>
      </c>
      <c r="N24" s="134">
        <v>95</v>
      </c>
      <c r="O24" s="134">
        <f>I24*H24*L24-1383.83</f>
        <v>53336.17</v>
      </c>
      <c r="P24" s="134">
        <f>J24*H24*M24-4625</f>
        <v>56175</v>
      </c>
      <c r="Q24" s="134">
        <f>K24*H24*N24-4625</f>
        <v>56175</v>
      </c>
    </row>
    <row r="25" spans="1:19" ht="64.5" customHeight="1">
      <c r="A25" s="255" t="s">
        <v>421</v>
      </c>
      <c r="B25" s="301">
        <v>13395</v>
      </c>
      <c r="C25" s="301">
        <v>37745</v>
      </c>
      <c r="D25" s="134">
        <v>40115</v>
      </c>
      <c r="E25" s="134">
        <v>64</v>
      </c>
      <c r="F25" s="134">
        <v>64</v>
      </c>
      <c r="G25" s="134">
        <v>64</v>
      </c>
      <c r="H25" s="145">
        <f t="shared" si="2"/>
        <v>64</v>
      </c>
      <c r="I25" s="134">
        <v>9</v>
      </c>
      <c r="J25" s="134">
        <v>10</v>
      </c>
      <c r="K25" s="134">
        <v>10</v>
      </c>
      <c r="L25" s="134">
        <v>95</v>
      </c>
      <c r="M25" s="134">
        <v>95</v>
      </c>
      <c r="N25" s="134">
        <v>95</v>
      </c>
      <c r="O25" s="134">
        <f t="shared" si="3"/>
        <v>54720</v>
      </c>
      <c r="P25" s="134">
        <f t="shared" si="0"/>
        <v>60800</v>
      </c>
      <c r="Q25" s="134">
        <f t="shared" si="1"/>
        <v>60800</v>
      </c>
    </row>
    <row r="26" spans="1:19" ht="64.5" customHeight="1">
      <c r="A26" s="255" t="s">
        <v>422</v>
      </c>
      <c r="B26" s="301">
        <v>22670</v>
      </c>
      <c r="C26" s="301">
        <v>51775</v>
      </c>
      <c r="D26" s="134">
        <v>53820</v>
      </c>
      <c r="E26" s="134">
        <v>64</v>
      </c>
      <c r="F26" s="134">
        <v>64</v>
      </c>
      <c r="G26" s="134">
        <v>64</v>
      </c>
      <c r="H26" s="145">
        <f t="shared" si="2"/>
        <v>64</v>
      </c>
      <c r="I26" s="134">
        <v>9</v>
      </c>
      <c r="J26" s="134">
        <v>10</v>
      </c>
      <c r="K26" s="134">
        <v>10</v>
      </c>
      <c r="L26" s="134">
        <v>95</v>
      </c>
      <c r="M26" s="134">
        <v>95</v>
      </c>
      <c r="N26" s="134">
        <v>95</v>
      </c>
      <c r="O26" s="134">
        <f t="shared" si="3"/>
        <v>54720</v>
      </c>
      <c r="P26" s="134">
        <f t="shared" si="0"/>
        <v>60800</v>
      </c>
      <c r="Q26" s="134">
        <f t="shared" si="1"/>
        <v>60800</v>
      </c>
    </row>
    <row r="27" spans="1:19" ht="64.5" customHeight="1">
      <c r="A27" s="144" t="s">
        <v>423</v>
      </c>
      <c r="B27" s="301">
        <v>11970</v>
      </c>
      <c r="C27" s="301">
        <v>28880</v>
      </c>
      <c r="D27" s="301">
        <v>30298</v>
      </c>
      <c r="E27" s="134">
        <v>64</v>
      </c>
      <c r="F27" s="134">
        <v>64</v>
      </c>
      <c r="G27" s="134">
        <v>64</v>
      </c>
      <c r="H27" s="145">
        <f t="shared" si="2"/>
        <v>64</v>
      </c>
      <c r="I27" s="134">
        <v>9</v>
      </c>
      <c r="J27" s="134">
        <v>10</v>
      </c>
      <c r="K27" s="134">
        <v>10</v>
      </c>
      <c r="L27" s="134">
        <v>95</v>
      </c>
      <c r="M27" s="134">
        <v>95</v>
      </c>
      <c r="N27" s="134">
        <v>95</v>
      </c>
      <c r="O27" s="134">
        <f t="shared" si="3"/>
        <v>54720</v>
      </c>
      <c r="P27" s="134">
        <f t="shared" si="0"/>
        <v>60800</v>
      </c>
      <c r="Q27" s="134">
        <f t="shared" si="1"/>
        <v>60800</v>
      </c>
      <c r="R27" s="386">
        <f>P31-Q31</f>
        <v>0</v>
      </c>
    </row>
    <row r="28" spans="1:19" ht="64.5" hidden="1" customHeight="1">
      <c r="A28" s="144" t="s">
        <v>290</v>
      </c>
      <c r="B28" s="257"/>
      <c r="C28" s="257"/>
      <c r="D28" s="146"/>
      <c r="E28" s="145"/>
      <c r="F28" s="145"/>
      <c r="G28" s="145"/>
      <c r="H28" s="145">
        <f>ROUND((E28+F28+G28)/3,1)</f>
        <v>0</v>
      </c>
      <c r="I28" s="145"/>
      <c r="J28" s="145"/>
      <c r="K28" s="145"/>
      <c r="L28" s="145"/>
      <c r="M28" s="145"/>
      <c r="N28" s="145"/>
      <c r="O28" s="134">
        <f t="shared" si="3"/>
        <v>0</v>
      </c>
      <c r="P28" s="134">
        <f>J28*H28*M28</f>
        <v>0</v>
      </c>
      <c r="Q28" s="134">
        <f>K28*H28*N28</f>
        <v>0</v>
      </c>
    </row>
    <row r="29" spans="1:19" ht="64.5" hidden="1" customHeight="1">
      <c r="A29" s="255" t="s">
        <v>389</v>
      </c>
      <c r="B29" s="257"/>
      <c r="C29" s="257"/>
      <c r="D29" s="146">
        <v>0</v>
      </c>
      <c r="E29" s="145">
        <v>0</v>
      </c>
      <c r="F29" s="145">
        <v>0</v>
      </c>
      <c r="G29" s="145">
        <v>0</v>
      </c>
      <c r="H29" s="145">
        <f>ROUND((E29+F29+G29)/3,1)</f>
        <v>0</v>
      </c>
      <c r="I29" s="145"/>
      <c r="J29" s="145"/>
      <c r="K29" s="145"/>
      <c r="L29" s="145"/>
      <c r="M29" s="145"/>
      <c r="N29" s="145"/>
      <c r="O29" s="134">
        <f t="shared" si="3"/>
        <v>0</v>
      </c>
      <c r="P29" s="134">
        <f>J29*H29*M29</f>
        <v>0</v>
      </c>
      <c r="Q29" s="134">
        <f>K29*H29*N29</f>
        <v>0</v>
      </c>
    </row>
    <row r="30" spans="1:19" ht="64.5" hidden="1" customHeight="1">
      <c r="A30" s="255" t="s">
        <v>390</v>
      </c>
      <c r="B30" s="257"/>
      <c r="C30" s="257"/>
      <c r="D30" s="146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34">
        <v>0</v>
      </c>
      <c r="P30" s="134">
        <v>0</v>
      </c>
      <c r="Q30" s="134">
        <f>K30*H30*N30</f>
        <v>0</v>
      </c>
    </row>
    <row r="31" spans="1:19" ht="24.75" customHeight="1">
      <c r="A31" s="147" t="s">
        <v>279</v>
      </c>
      <c r="B31" s="148">
        <f t="shared" ref="B31:K31" si="4">SUM(B7:B30)</f>
        <v>1009327.67</v>
      </c>
      <c r="C31" s="148">
        <f>SUM(C7:C30)+2375</f>
        <v>1095099</v>
      </c>
      <c r="D31" s="148">
        <f t="shared" si="4"/>
        <v>1130876.55</v>
      </c>
      <c r="E31" s="148">
        <f t="shared" si="4"/>
        <v>1349</v>
      </c>
      <c r="F31" s="148">
        <f t="shared" si="4"/>
        <v>1349</v>
      </c>
      <c r="G31" s="148">
        <f t="shared" si="4"/>
        <v>1349</v>
      </c>
      <c r="H31" s="148">
        <f t="shared" si="4"/>
        <v>1349</v>
      </c>
      <c r="I31" s="148">
        <f t="shared" si="4"/>
        <v>202</v>
      </c>
      <c r="J31" s="148">
        <f t="shared" si="4"/>
        <v>212</v>
      </c>
      <c r="K31" s="148">
        <f t="shared" si="4"/>
        <v>212</v>
      </c>
      <c r="L31" s="149" t="s">
        <v>274</v>
      </c>
      <c r="M31" s="149" t="s">
        <v>274</v>
      </c>
      <c r="N31" s="149" t="s">
        <v>274</v>
      </c>
      <c r="O31" s="136">
        <f>SUM(O5:O30)</f>
        <v>1220800</v>
      </c>
      <c r="P31" s="136">
        <f>SUM(P5:P30)</f>
        <v>1220800</v>
      </c>
      <c r="Q31" s="136">
        <f>SUM(Q5:Q30)</f>
        <v>1220800</v>
      </c>
      <c r="R31" s="288">
        <v>1220800</v>
      </c>
      <c r="S31" s="386">
        <f>R31-O31</f>
        <v>0</v>
      </c>
    </row>
    <row r="32" spans="1:19" ht="24.75" customHeight="1">
      <c r="E32" s="324"/>
    </row>
    <row r="33" spans="1:21" ht="36" customHeight="1">
      <c r="A33" s="653" t="s">
        <v>291</v>
      </c>
      <c r="B33" s="653"/>
      <c r="C33" s="653"/>
      <c r="D33" s="653"/>
      <c r="E33" s="653"/>
      <c r="F33" s="653"/>
      <c r="G33" s="150"/>
      <c r="H33" s="150"/>
      <c r="I33" s="150"/>
      <c r="J33" s="150"/>
      <c r="K33" s="150"/>
      <c r="L33" s="150"/>
      <c r="M33" s="150"/>
      <c r="N33" s="151"/>
      <c r="O33" s="303"/>
      <c r="P33" s="151"/>
      <c r="Q33" s="151"/>
    </row>
    <row r="34" spans="1:21" ht="16.5" customHeight="1">
      <c r="A34" s="291" t="s">
        <v>292</v>
      </c>
      <c r="B34" s="291" t="s">
        <v>110</v>
      </c>
      <c r="C34" s="291" t="s">
        <v>293</v>
      </c>
      <c r="D34" s="656" t="s">
        <v>294</v>
      </c>
      <c r="E34" s="656"/>
      <c r="F34" s="656"/>
      <c r="G34" s="656"/>
      <c r="H34" s="656"/>
      <c r="I34" s="656"/>
      <c r="J34" s="292"/>
      <c r="K34" s="150"/>
      <c r="L34" s="150"/>
      <c r="M34" s="150"/>
      <c r="N34" s="292"/>
      <c r="O34" s="304"/>
      <c r="P34" s="304"/>
      <c r="Q34" s="292"/>
      <c r="R34" s="139"/>
      <c r="S34" s="139"/>
      <c r="T34" s="139"/>
      <c r="U34" s="292"/>
    </row>
    <row r="35" spans="1:21" ht="64.5" customHeight="1">
      <c r="A35" s="291" t="s">
        <v>391</v>
      </c>
      <c r="B35" s="256">
        <v>42065</v>
      </c>
      <c r="C35" s="291">
        <v>234</v>
      </c>
      <c r="D35" s="654" t="s">
        <v>426</v>
      </c>
      <c r="E35" s="654"/>
      <c r="F35" s="654"/>
      <c r="G35" s="654"/>
      <c r="H35" s="654"/>
      <c r="I35" s="654"/>
      <c r="J35" s="292"/>
      <c r="K35" s="150"/>
      <c r="L35" s="150"/>
      <c r="M35" s="150"/>
      <c r="N35" s="292"/>
      <c r="O35" s="292"/>
      <c r="P35" s="292"/>
      <c r="Q35" s="292"/>
      <c r="R35" s="142"/>
      <c r="S35" s="142"/>
      <c r="T35" s="142"/>
      <c r="U35" s="292"/>
    </row>
    <row r="36" spans="1:21" ht="64.5" customHeight="1">
      <c r="A36" s="291" t="s">
        <v>391</v>
      </c>
      <c r="B36" s="256">
        <v>42993</v>
      </c>
      <c r="C36" s="291" t="s">
        <v>427</v>
      </c>
      <c r="D36" s="654" t="s">
        <v>428</v>
      </c>
      <c r="E36" s="654"/>
      <c r="F36" s="654"/>
      <c r="G36" s="654"/>
      <c r="H36" s="654"/>
      <c r="I36" s="654"/>
      <c r="J36" s="292"/>
      <c r="K36" s="150"/>
      <c r="L36" s="150"/>
      <c r="M36" s="150"/>
      <c r="N36" s="292"/>
      <c r="O36" s="304"/>
      <c r="P36" s="304"/>
      <c r="Q36" s="292"/>
      <c r="R36" s="142"/>
      <c r="S36" s="142"/>
      <c r="T36" s="142"/>
      <c r="U36" s="292"/>
    </row>
    <row r="37" spans="1:21">
      <c r="A37" s="152"/>
      <c r="B37" s="152"/>
      <c r="C37" s="152"/>
      <c r="D37" s="152"/>
      <c r="E37" s="152"/>
      <c r="F37" s="152"/>
      <c r="G37" s="292"/>
      <c r="H37" s="292"/>
      <c r="I37" s="292"/>
      <c r="J37" s="292"/>
      <c r="K37" s="150"/>
      <c r="L37" s="150"/>
      <c r="M37" s="150"/>
      <c r="N37" s="292"/>
      <c r="O37" s="292"/>
      <c r="P37" s="292"/>
      <c r="Q37" s="292"/>
    </row>
    <row r="38" spans="1:21">
      <c r="A38" s="152"/>
      <c r="B38" s="152"/>
      <c r="C38" s="152"/>
      <c r="D38" s="152"/>
      <c r="E38" s="152"/>
      <c r="F38" s="152"/>
      <c r="G38" s="292"/>
      <c r="H38" s="292"/>
      <c r="I38" s="292"/>
      <c r="J38" s="292"/>
      <c r="K38" s="150"/>
      <c r="L38" s="150"/>
      <c r="M38" s="150"/>
      <c r="N38" s="292"/>
      <c r="O38" s="292"/>
      <c r="P38" s="292"/>
      <c r="Q38" s="292"/>
    </row>
    <row r="39" spans="1:21">
      <c r="A39" s="645" t="s">
        <v>179</v>
      </c>
      <c r="B39" s="645"/>
      <c r="C39" s="138" t="s">
        <v>401</v>
      </c>
      <c r="D39" s="139"/>
      <c r="E39" s="138"/>
      <c r="F39" s="139"/>
      <c r="G39" s="655" t="str">
        <f>[1]возмещение!G17</f>
        <v>Ускова Н.П.</v>
      </c>
      <c r="H39" s="655"/>
      <c r="I39" s="655"/>
      <c r="J39" s="139"/>
      <c r="K39" s="139"/>
      <c r="L39" s="139"/>
      <c r="M39" s="139"/>
      <c r="N39" s="139"/>
      <c r="O39" s="139"/>
      <c r="P39" s="139"/>
      <c r="Q39" s="139"/>
    </row>
    <row r="40" spans="1:21">
      <c r="A40" s="645" t="s">
        <v>180</v>
      </c>
      <c r="B40" s="645"/>
      <c r="C40" s="141" t="s">
        <v>181</v>
      </c>
      <c r="D40" s="142"/>
      <c r="E40" s="141" t="s">
        <v>120</v>
      </c>
      <c r="F40" s="142"/>
      <c r="G40" s="141" t="s">
        <v>121</v>
      </c>
      <c r="H40" s="141"/>
      <c r="I40" s="142"/>
      <c r="J40" s="142"/>
      <c r="K40" s="142"/>
      <c r="L40" s="142"/>
      <c r="M40" s="142"/>
      <c r="N40" s="142"/>
      <c r="O40" s="142"/>
      <c r="P40" s="142"/>
      <c r="Q40" s="142"/>
    </row>
    <row r="41" spans="1:21">
      <c r="A41" s="289"/>
    </row>
    <row r="42" spans="1:21">
      <c r="C42" s="138" t="s">
        <v>515</v>
      </c>
      <c r="D42" s="139"/>
      <c r="E42" s="138"/>
      <c r="F42" s="139"/>
      <c r="G42" s="657" t="s">
        <v>517</v>
      </c>
      <c r="H42" s="657"/>
      <c r="J42" s="658" t="s">
        <v>488</v>
      </c>
      <c r="K42" s="658"/>
    </row>
    <row r="43" spans="1:21">
      <c r="A43" s="288" t="s">
        <v>182</v>
      </c>
      <c r="C43" s="141" t="s">
        <v>181</v>
      </c>
      <c r="D43" s="142"/>
      <c r="E43" s="141" t="s">
        <v>120</v>
      </c>
      <c r="F43" s="142"/>
      <c r="G43" s="646" t="s">
        <v>121</v>
      </c>
      <c r="H43" s="646"/>
      <c r="J43" s="646" t="s">
        <v>183</v>
      </c>
      <c r="K43" s="646"/>
    </row>
    <row r="44" spans="1:21" ht="23.25" customHeight="1"/>
    <row r="45" spans="1:21">
      <c r="A45" s="647" t="s">
        <v>583</v>
      </c>
      <c r="B45" s="647"/>
      <c r="C45" s="647"/>
      <c r="D45" s="647"/>
      <c r="E45" s="647"/>
    </row>
  </sheetData>
  <mergeCells count="20">
    <mergeCell ref="J42:K42"/>
    <mergeCell ref="J43:K43"/>
    <mergeCell ref="A1:Q1"/>
    <mergeCell ref="A2:A4"/>
    <mergeCell ref="B2:D2"/>
    <mergeCell ref="E2:H3"/>
    <mergeCell ref="I2:K3"/>
    <mergeCell ref="L2:N3"/>
    <mergeCell ref="O2:Q3"/>
    <mergeCell ref="B3:D3"/>
    <mergeCell ref="G43:H43"/>
    <mergeCell ref="A45:E45"/>
    <mergeCell ref="A33:F33"/>
    <mergeCell ref="D35:I35"/>
    <mergeCell ref="D36:I36"/>
    <mergeCell ref="A39:B39"/>
    <mergeCell ref="G39:I39"/>
    <mergeCell ref="A40:B40"/>
    <mergeCell ref="D34:I34"/>
    <mergeCell ref="G42:H42"/>
  </mergeCells>
  <pageMargins left="0.11811023622047245" right="0.11811023622047245" top="0.35433070866141736" bottom="0.35433070866141736" header="0.31496062992125984" footer="0.31496062992125984"/>
  <pageSetup paperSize="9" scale="43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0"/>
  <sheetViews>
    <sheetView view="pageBreakPreview" topLeftCell="A12" zoomScaleSheetLayoutView="100" workbookViewId="0">
      <selection activeCell="K20" sqref="K20"/>
    </sheetView>
  </sheetViews>
  <sheetFormatPr defaultColWidth="9.140625" defaultRowHeight="15"/>
  <cols>
    <col min="1" max="1" width="36.28515625" style="330" customWidth="1"/>
    <col min="2" max="2" width="14.7109375" style="330" customWidth="1"/>
    <col min="3" max="3" width="13.42578125" style="330" customWidth="1"/>
    <col min="4" max="4" width="12.28515625" style="330" customWidth="1"/>
    <col min="5" max="5" width="10.5703125" style="330" customWidth="1"/>
    <col min="6" max="7" width="9.140625" style="330" customWidth="1"/>
    <col min="8" max="8" width="10.7109375" style="330" customWidth="1"/>
    <col min="9" max="14" width="11.28515625" style="330" customWidth="1"/>
    <col min="15" max="15" width="13.28515625" style="330" customWidth="1"/>
    <col min="16" max="16" width="15.28515625" style="330" customWidth="1"/>
    <col min="17" max="17" width="13.28515625" style="330" customWidth="1"/>
    <col min="18" max="18" width="12" style="330" bestFit="1" customWidth="1"/>
    <col min="19" max="16384" width="9.140625" style="330"/>
  </cols>
  <sheetData>
    <row r="1" spans="1:18">
      <c r="A1" s="639" t="s">
        <v>284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</row>
    <row r="2" spans="1:18">
      <c r="A2" s="659" t="s">
        <v>269</v>
      </c>
      <c r="B2" s="656" t="s">
        <v>285</v>
      </c>
      <c r="C2" s="656"/>
      <c r="D2" s="656"/>
      <c r="E2" s="662" t="s">
        <v>286</v>
      </c>
      <c r="F2" s="659"/>
      <c r="G2" s="659"/>
      <c r="H2" s="663"/>
      <c r="I2" s="656" t="s">
        <v>287</v>
      </c>
      <c r="J2" s="656"/>
      <c r="K2" s="656"/>
      <c r="L2" s="656" t="s">
        <v>288</v>
      </c>
      <c r="M2" s="656"/>
      <c r="N2" s="656"/>
      <c r="O2" s="656" t="s">
        <v>272</v>
      </c>
      <c r="P2" s="656"/>
      <c r="Q2" s="656"/>
    </row>
    <row r="3" spans="1:18">
      <c r="A3" s="660"/>
      <c r="B3" s="656" t="s">
        <v>289</v>
      </c>
      <c r="C3" s="656"/>
      <c r="D3" s="656"/>
      <c r="E3" s="664"/>
      <c r="F3" s="661"/>
      <c r="G3" s="661"/>
      <c r="H3" s="665"/>
      <c r="I3" s="656"/>
      <c r="J3" s="656"/>
      <c r="K3" s="656"/>
      <c r="L3" s="656"/>
      <c r="M3" s="656"/>
      <c r="N3" s="656"/>
      <c r="O3" s="656"/>
      <c r="P3" s="656"/>
      <c r="Q3" s="656"/>
    </row>
    <row r="4" spans="1:18" ht="105">
      <c r="A4" s="661"/>
      <c r="B4" s="333" t="s">
        <v>383</v>
      </c>
      <c r="C4" s="333" t="s">
        <v>384</v>
      </c>
      <c r="D4" s="333" t="s">
        <v>385</v>
      </c>
      <c r="E4" s="333" t="s">
        <v>383</v>
      </c>
      <c r="F4" s="333" t="s">
        <v>384</v>
      </c>
      <c r="G4" s="333" t="s">
        <v>385</v>
      </c>
      <c r="H4" s="333" t="s">
        <v>386</v>
      </c>
      <c r="I4" s="333" t="s">
        <v>379</v>
      </c>
      <c r="J4" s="333" t="s">
        <v>380</v>
      </c>
      <c r="K4" s="333" t="s">
        <v>382</v>
      </c>
      <c r="L4" s="333" t="s">
        <v>379</v>
      </c>
      <c r="M4" s="333" t="s">
        <v>380</v>
      </c>
      <c r="N4" s="333" t="s">
        <v>382</v>
      </c>
      <c r="O4" s="333" t="s">
        <v>379</v>
      </c>
      <c r="P4" s="333" t="s">
        <v>380</v>
      </c>
      <c r="Q4" s="333" t="s">
        <v>382</v>
      </c>
    </row>
    <row r="5" spans="1:18" ht="31.5" customHeight="1">
      <c r="A5" s="254" t="s">
        <v>387</v>
      </c>
      <c r="B5" s="129" t="s">
        <v>274</v>
      </c>
      <c r="C5" s="129" t="s">
        <v>274</v>
      </c>
      <c r="D5" s="129" t="s">
        <v>274</v>
      </c>
      <c r="E5" s="129" t="s">
        <v>274</v>
      </c>
      <c r="F5" s="129" t="s">
        <v>274</v>
      </c>
      <c r="G5" s="129" t="s">
        <v>274</v>
      </c>
      <c r="H5" s="129" t="s">
        <v>274</v>
      </c>
      <c r="I5" s="129" t="s">
        <v>274</v>
      </c>
      <c r="J5" s="129" t="s">
        <v>274</v>
      </c>
      <c r="K5" s="129" t="s">
        <v>274</v>
      </c>
      <c r="L5" s="129" t="s">
        <v>274</v>
      </c>
      <c r="M5" s="129" t="s">
        <v>274</v>
      </c>
      <c r="N5" s="129" t="s">
        <v>274</v>
      </c>
      <c r="O5" s="129">
        <v>138649.32999999999</v>
      </c>
      <c r="P5" s="129">
        <v>0</v>
      </c>
      <c r="Q5" s="129">
        <v>0</v>
      </c>
    </row>
    <row r="6" spans="1:18" ht="77.25" customHeight="1">
      <c r="A6" s="254" t="s">
        <v>388</v>
      </c>
      <c r="B6" s="129" t="s">
        <v>274</v>
      </c>
      <c r="C6" s="129" t="s">
        <v>274</v>
      </c>
      <c r="D6" s="129" t="s">
        <v>274</v>
      </c>
      <c r="E6" s="129" t="s">
        <v>274</v>
      </c>
      <c r="F6" s="129" t="s">
        <v>274</v>
      </c>
      <c r="G6" s="129" t="s">
        <v>274</v>
      </c>
      <c r="H6" s="129" t="s">
        <v>274</v>
      </c>
      <c r="I6" s="129" t="s">
        <v>274</v>
      </c>
      <c r="J6" s="129" t="s">
        <v>274</v>
      </c>
      <c r="K6" s="129" t="s">
        <v>274</v>
      </c>
      <c r="L6" s="129" t="s">
        <v>274</v>
      </c>
      <c r="M6" s="129" t="s">
        <v>274</v>
      </c>
      <c r="N6" s="129" t="s">
        <v>274</v>
      </c>
      <c r="O6" s="129">
        <v>0</v>
      </c>
      <c r="P6" s="129">
        <v>0</v>
      </c>
      <c r="Q6" s="129">
        <v>0</v>
      </c>
    </row>
    <row r="7" spans="1:18" s="137" customFormat="1" ht="88.5" customHeight="1">
      <c r="A7" s="144" t="s">
        <v>424</v>
      </c>
      <c r="B7" s="301">
        <v>5124778.03</v>
      </c>
      <c r="C7" s="301">
        <v>5354888.51</v>
      </c>
      <c r="D7" s="301">
        <f>5283027+108649.33</f>
        <v>5391676.3300000001</v>
      </c>
      <c r="E7" s="145">
        <v>205</v>
      </c>
      <c r="F7" s="145">
        <v>205</v>
      </c>
      <c r="G7" s="145">
        <v>205</v>
      </c>
      <c r="H7" s="145">
        <f t="shared" ref="H7:H12" si="0">ROUND((E7+F7+G7)/3,1)</f>
        <v>205</v>
      </c>
      <c r="I7" s="145">
        <v>246</v>
      </c>
      <c r="J7" s="145">
        <v>246</v>
      </c>
      <c r="K7" s="145">
        <v>246</v>
      </c>
      <c r="L7" s="145">
        <v>92</v>
      </c>
      <c r="M7" s="145">
        <v>92</v>
      </c>
      <c r="N7" s="145">
        <v>92</v>
      </c>
      <c r="O7" s="134">
        <f t="shared" ref="O7:O14" si="1">I7*H7*L7</f>
        <v>4639560</v>
      </c>
      <c r="P7" s="134">
        <f>J7*H7*M7</f>
        <v>4639560</v>
      </c>
      <c r="Q7" s="134">
        <f t="shared" ref="Q7:Q12" si="2">K7*H7*N7</f>
        <v>4639560</v>
      </c>
    </row>
    <row r="8" spans="1:18" s="137" customFormat="1" ht="98.25" customHeight="1">
      <c r="A8" s="144" t="s">
        <v>424</v>
      </c>
      <c r="B8" s="305">
        <v>0</v>
      </c>
      <c r="C8" s="305">
        <v>0</v>
      </c>
      <c r="D8" s="146">
        <v>0</v>
      </c>
      <c r="E8" s="145">
        <v>6</v>
      </c>
      <c r="F8" s="145">
        <v>6</v>
      </c>
      <c r="G8" s="145">
        <v>6</v>
      </c>
      <c r="H8" s="145">
        <f t="shared" si="0"/>
        <v>6</v>
      </c>
      <c r="I8" s="145">
        <v>44</v>
      </c>
      <c r="J8" s="145">
        <v>246</v>
      </c>
      <c r="K8" s="145">
        <v>246</v>
      </c>
      <c r="L8" s="145">
        <v>92</v>
      </c>
      <c r="M8" s="145">
        <v>92</v>
      </c>
      <c r="N8" s="145">
        <v>92</v>
      </c>
      <c r="O8" s="134">
        <f t="shared" si="1"/>
        <v>24288</v>
      </c>
      <c r="P8" s="134">
        <f t="shared" ref="P8:P12" si="3">J8*H8*M8</f>
        <v>135792</v>
      </c>
      <c r="Q8" s="134">
        <f t="shared" si="2"/>
        <v>135792</v>
      </c>
      <c r="R8" s="302"/>
    </row>
    <row r="9" spans="1:18" s="137" customFormat="1" ht="86.25" customHeight="1">
      <c r="A9" s="144" t="s">
        <v>425</v>
      </c>
      <c r="B9" s="301">
        <v>495883</v>
      </c>
      <c r="C9" s="301">
        <v>228028.2</v>
      </c>
      <c r="D9" s="301">
        <v>526584</v>
      </c>
      <c r="E9" s="145">
        <v>40</v>
      </c>
      <c r="F9" s="145">
        <v>40</v>
      </c>
      <c r="G9" s="145">
        <v>40</v>
      </c>
      <c r="H9" s="145">
        <f t="shared" si="0"/>
        <v>40</v>
      </c>
      <c r="I9" s="145">
        <v>246</v>
      </c>
      <c r="J9" s="145">
        <v>246</v>
      </c>
      <c r="K9" s="145">
        <v>246</v>
      </c>
      <c r="L9" s="145">
        <v>80</v>
      </c>
      <c r="M9" s="145">
        <v>80</v>
      </c>
      <c r="N9" s="145">
        <v>80</v>
      </c>
      <c r="O9" s="134">
        <f>I9*H9*L9+54.67</f>
        <v>787254.67</v>
      </c>
      <c r="P9" s="134">
        <f t="shared" si="3"/>
        <v>787200</v>
      </c>
      <c r="Q9" s="134">
        <f t="shared" si="2"/>
        <v>787200</v>
      </c>
      <c r="R9" s="302"/>
    </row>
    <row r="10" spans="1:18" s="137" customFormat="1" ht="84.75" customHeight="1">
      <c r="A10" s="144" t="s">
        <v>425</v>
      </c>
      <c r="B10" s="147"/>
      <c r="C10" s="147"/>
      <c r="D10" s="146"/>
      <c r="E10" s="145">
        <v>5</v>
      </c>
      <c r="F10" s="145">
        <v>5</v>
      </c>
      <c r="G10" s="145">
        <v>5</v>
      </c>
      <c r="H10" s="145">
        <f t="shared" si="0"/>
        <v>5</v>
      </c>
      <c r="I10" s="145">
        <v>178</v>
      </c>
      <c r="J10" s="145">
        <v>246</v>
      </c>
      <c r="K10" s="145">
        <v>246</v>
      </c>
      <c r="L10" s="145">
        <v>80</v>
      </c>
      <c r="M10" s="145">
        <v>80</v>
      </c>
      <c r="N10" s="145">
        <v>80</v>
      </c>
      <c r="O10" s="134">
        <f>I10*H10*L10</f>
        <v>71200</v>
      </c>
      <c r="P10" s="134">
        <f t="shared" si="3"/>
        <v>98400</v>
      </c>
      <c r="Q10" s="134">
        <f t="shared" si="2"/>
        <v>98400</v>
      </c>
      <c r="R10" s="302"/>
    </row>
    <row r="11" spans="1:18" s="137" customFormat="1" ht="100.5" customHeight="1">
      <c r="A11" s="144" t="s">
        <v>424</v>
      </c>
      <c r="B11" s="301">
        <v>238892.87</v>
      </c>
      <c r="C11" s="301">
        <v>300031.3</v>
      </c>
      <c r="D11" s="301">
        <f>269875+75875</f>
        <v>345750</v>
      </c>
      <c r="E11" s="145">
        <v>28</v>
      </c>
      <c r="F11" s="145">
        <v>28</v>
      </c>
      <c r="G11" s="145">
        <v>28</v>
      </c>
      <c r="H11" s="145">
        <f t="shared" si="0"/>
        <v>28</v>
      </c>
      <c r="I11" s="145">
        <v>246</v>
      </c>
      <c r="J11" s="145">
        <v>246</v>
      </c>
      <c r="K11" s="145">
        <v>246</v>
      </c>
      <c r="L11" s="145">
        <v>46</v>
      </c>
      <c r="M11" s="145">
        <v>46</v>
      </c>
      <c r="N11" s="145">
        <v>46</v>
      </c>
      <c r="O11" s="134">
        <f t="shared" si="1"/>
        <v>316848</v>
      </c>
      <c r="P11" s="134">
        <f t="shared" si="3"/>
        <v>316848</v>
      </c>
      <c r="Q11" s="134">
        <f t="shared" si="2"/>
        <v>316848</v>
      </c>
    </row>
    <row r="12" spans="1:18" s="137" customFormat="1" ht="93" customHeight="1">
      <c r="A12" s="144" t="s">
        <v>425</v>
      </c>
      <c r="B12" s="301">
        <v>19625</v>
      </c>
      <c r="C12" s="301">
        <v>60921</v>
      </c>
      <c r="D12" s="301">
        <f>44200+9140</f>
        <v>53340</v>
      </c>
      <c r="E12" s="145">
        <v>7</v>
      </c>
      <c r="F12" s="145">
        <v>7</v>
      </c>
      <c r="G12" s="145">
        <v>7</v>
      </c>
      <c r="H12" s="145">
        <f t="shared" si="0"/>
        <v>7</v>
      </c>
      <c r="I12" s="145">
        <v>246</v>
      </c>
      <c r="J12" s="145">
        <v>246</v>
      </c>
      <c r="K12" s="145">
        <v>246</v>
      </c>
      <c r="L12" s="145">
        <v>40</v>
      </c>
      <c r="M12" s="145">
        <v>40</v>
      </c>
      <c r="N12" s="145">
        <v>40</v>
      </c>
      <c r="O12" s="134">
        <f t="shared" si="1"/>
        <v>68880</v>
      </c>
      <c r="P12" s="134">
        <f t="shared" si="3"/>
        <v>68880</v>
      </c>
      <c r="Q12" s="134">
        <f t="shared" si="2"/>
        <v>68880</v>
      </c>
    </row>
    <row r="13" spans="1:18" ht="64.5" hidden="1" customHeight="1">
      <c r="A13" s="144" t="s">
        <v>290</v>
      </c>
      <c r="B13" s="257"/>
      <c r="C13" s="257"/>
      <c r="D13" s="146"/>
      <c r="E13" s="145"/>
      <c r="F13" s="145"/>
      <c r="G13" s="145"/>
      <c r="H13" s="145">
        <f>ROUND((E13+F13+G13)/3,1)</f>
        <v>0</v>
      </c>
      <c r="I13" s="145"/>
      <c r="J13" s="145"/>
      <c r="K13" s="145"/>
      <c r="L13" s="145"/>
      <c r="M13" s="145"/>
      <c r="N13" s="145"/>
      <c r="O13" s="134">
        <f t="shared" si="1"/>
        <v>0</v>
      </c>
      <c r="P13" s="134">
        <f>J13*H13*M13</f>
        <v>0</v>
      </c>
      <c r="Q13" s="134">
        <f>K13*H13*N13</f>
        <v>0</v>
      </c>
    </row>
    <row r="14" spans="1:18" ht="64.5" hidden="1" customHeight="1">
      <c r="A14" s="255" t="s">
        <v>389</v>
      </c>
      <c r="B14" s="257"/>
      <c r="C14" s="257"/>
      <c r="D14" s="146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34">
        <f t="shared" si="1"/>
        <v>0</v>
      </c>
      <c r="P14" s="134">
        <f>J14*H14*M14</f>
        <v>0</v>
      </c>
      <c r="Q14" s="134">
        <f>K14*H14*N14</f>
        <v>0</v>
      </c>
    </row>
    <row r="15" spans="1:18" ht="64.5" hidden="1" customHeight="1">
      <c r="A15" s="255" t="s">
        <v>390</v>
      </c>
      <c r="B15" s="257"/>
      <c r="C15" s="257"/>
      <c r="D15" s="146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34">
        <v>0</v>
      </c>
      <c r="P15" s="134">
        <v>0</v>
      </c>
      <c r="Q15" s="134">
        <f>K15*H15*N15</f>
        <v>0</v>
      </c>
    </row>
    <row r="16" spans="1:18" ht="24.75" customHeight="1">
      <c r="A16" s="147" t="s">
        <v>279</v>
      </c>
      <c r="B16" s="148">
        <f>SUM(B7:B15)</f>
        <v>5879178.9000000004</v>
      </c>
      <c r="C16" s="148">
        <f>SUM(C7:C15)+2375</f>
        <v>5946244.0099999998</v>
      </c>
      <c r="D16" s="148">
        <f t="shared" ref="D16:K16" si="4">SUM(D7:D15)</f>
        <v>6317350.3300000001</v>
      </c>
      <c r="E16" s="148">
        <f>SUM(E7:E15)</f>
        <v>291</v>
      </c>
      <c r="F16" s="148">
        <f t="shared" si="4"/>
        <v>291</v>
      </c>
      <c r="G16" s="148">
        <f t="shared" si="4"/>
        <v>291</v>
      </c>
      <c r="H16" s="148">
        <f t="shared" si="4"/>
        <v>291</v>
      </c>
      <c r="I16" s="148">
        <f t="shared" si="4"/>
        <v>1206</v>
      </c>
      <c r="J16" s="148">
        <f t="shared" si="4"/>
        <v>1476</v>
      </c>
      <c r="K16" s="148">
        <f t="shared" si="4"/>
        <v>1476</v>
      </c>
      <c r="L16" s="149" t="s">
        <v>274</v>
      </c>
      <c r="M16" s="149" t="s">
        <v>274</v>
      </c>
      <c r="N16" s="149" t="s">
        <v>274</v>
      </c>
      <c r="O16" s="136">
        <f>SUM(O5:O15)</f>
        <v>6046680</v>
      </c>
      <c r="P16" s="136">
        <f>SUM(P5:P15)</f>
        <v>6046680</v>
      </c>
      <c r="Q16" s="136">
        <f>SUM(Q5:Q15)</f>
        <v>6046680</v>
      </c>
    </row>
    <row r="17" spans="1:21" ht="24.75" customHeight="1">
      <c r="E17" s="324"/>
    </row>
    <row r="18" spans="1:21" ht="36" customHeight="1">
      <c r="A18" s="653" t="s">
        <v>291</v>
      </c>
      <c r="B18" s="653"/>
      <c r="C18" s="653"/>
      <c r="D18" s="653"/>
      <c r="E18" s="653"/>
      <c r="F18" s="653"/>
      <c r="G18" s="150"/>
      <c r="H18" s="150"/>
      <c r="I18" s="150"/>
      <c r="J18" s="150"/>
      <c r="K18" s="150"/>
      <c r="L18" s="150"/>
      <c r="M18" s="150"/>
      <c r="N18" s="151"/>
      <c r="O18" s="303"/>
      <c r="P18" s="151"/>
      <c r="Q18" s="151"/>
    </row>
    <row r="19" spans="1:21" ht="16.5" customHeight="1">
      <c r="A19" s="334" t="s">
        <v>292</v>
      </c>
      <c r="B19" s="334" t="s">
        <v>110</v>
      </c>
      <c r="C19" s="334" t="s">
        <v>293</v>
      </c>
      <c r="D19" s="656" t="s">
        <v>294</v>
      </c>
      <c r="E19" s="656"/>
      <c r="F19" s="656"/>
      <c r="G19" s="656"/>
      <c r="H19" s="656"/>
      <c r="I19" s="656"/>
      <c r="J19" s="332"/>
      <c r="K19" s="150"/>
      <c r="L19" s="150"/>
      <c r="M19" s="150"/>
      <c r="N19" s="332"/>
      <c r="O19" s="304"/>
      <c r="P19" s="304"/>
      <c r="Q19" s="332"/>
      <c r="R19" s="139"/>
      <c r="S19" s="139"/>
      <c r="T19" s="139"/>
      <c r="U19" s="332"/>
    </row>
    <row r="20" spans="1:21" ht="96.75" customHeight="1">
      <c r="A20" s="357" t="s">
        <v>542</v>
      </c>
      <c r="B20" s="256">
        <v>43252</v>
      </c>
      <c r="C20" s="334">
        <v>102</v>
      </c>
      <c r="D20" s="654" t="s">
        <v>543</v>
      </c>
      <c r="E20" s="654"/>
      <c r="F20" s="654"/>
      <c r="G20" s="654"/>
      <c r="H20" s="654"/>
      <c r="I20" s="654"/>
      <c r="J20" s="332"/>
      <c r="K20" s="150"/>
      <c r="L20" s="150"/>
      <c r="M20" s="150"/>
      <c r="N20" s="332"/>
      <c r="O20" s="332"/>
      <c r="P20" s="332"/>
      <c r="Q20" s="332"/>
      <c r="R20" s="142"/>
      <c r="S20" s="142"/>
      <c r="T20" s="142"/>
      <c r="U20" s="332"/>
    </row>
    <row r="21" spans="1:21">
      <c r="A21" s="152"/>
      <c r="B21" s="152"/>
      <c r="C21" s="152"/>
      <c r="D21" s="152"/>
      <c r="E21" s="152"/>
      <c r="F21" s="152"/>
      <c r="G21" s="332"/>
      <c r="H21" s="332"/>
      <c r="I21" s="332"/>
      <c r="J21" s="332"/>
      <c r="K21" s="150"/>
      <c r="L21" s="150"/>
      <c r="M21" s="150"/>
      <c r="N21" s="332"/>
      <c r="O21" s="332"/>
      <c r="P21" s="332"/>
      <c r="Q21" s="332"/>
    </row>
    <row r="22" spans="1:21">
      <c r="A22" s="152"/>
      <c r="B22" s="152"/>
      <c r="C22" s="152"/>
      <c r="D22" s="152"/>
      <c r="E22" s="152"/>
      <c r="F22" s="152"/>
      <c r="G22" s="332"/>
      <c r="H22" s="332"/>
      <c r="I22" s="332"/>
      <c r="J22" s="332"/>
      <c r="K22" s="150"/>
      <c r="L22" s="150"/>
      <c r="M22" s="150"/>
      <c r="N22" s="332"/>
      <c r="O22" s="332"/>
      <c r="P22" s="332"/>
      <c r="Q22" s="332"/>
    </row>
    <row r="23" spans="1:21">
      <c r="A23" s="645" t="s">
        <v>179</v>
      </c>
      <c r="B23" s="645"/>
      <c r="C23" s="138" t="s">
        <v>401</v>
      </c>
      <c r="D23" s="139"/>
      <c r="E23" s="138"/>
      <c r="F23" s="139"/>
      <c r="G23" s="666" t="str">
        <f>[1]возмещение!G17</f>
        <v>Ускова Н.П.</v>
      </c>
      <c r="H23" s="666"/>
      <c r="I23" s="666"/>
      <c r="J23" s="139"/>
      <c r="K23" s="139"/>
      <c r="L23" s="139"/>
      <c r="M23" s="139"/>
      <c r="N23" s="139"/>
      <c r="O23" s="139"/>
      <c r="P23" s="139"/>
      <c r="Q23" s="139"/>
    </row>
    <row r="24" spans="1:21">
      <c r="A24" s="645" t="s">
        <v>180</v>
      </c>
      <c r="B24" s="645"/>
      <c r="C24" s="141" t="s">
        <v>181</v>
      </c>
      <c r="D24" s="142"/>
      <c r="E24" s="141" t="s">
        <v>120</v>
      </c>
      <c r="F24" s="142"/>
      <c r="G24" s="141" t="s">
        <v>121</v>
      </c>
      <c r="H24" s="141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21">
      <c r="A25" s="331"/>
    </row>
    <row r="26" spans="1:21">
      <c r="C26" s="138" t="s">
        <v>515</v>
      </c>
      <c r="D26" s="139"/>
      <c r="E26" s="138"/>
      <c r="F26" s="139"/>
      <c r="G26" s="657" t="s">
        <v>517</v>
      </c>
      <c r="H26" s="657"/>
      <c r="I26" s="658" t="s">
        <v>488</v>
      </c>
      <c r="J26" s="658"/>
    </row>
    <row r="27" spans="1:21">
      <c r="A27" s="330" t="s">
        <v>182</v>
      </c>
      <c r="C27" s="141" t="s">
        <v>181</v>
      </c>
      <c r="D27" s="142"/>
      <c r="E27" s="141" t="s">
        <v>120</v>
      </c>
      <c r="F27" s="142"/>
      <c r="G27" s="646" t="s">
        <v>121</v>
      </c>
      <c r="H27" s="646"/>
      <c r="I27" s="646" t="s">
        <v>183</v>
      </c>
      <c r="J27" s="646"/>
    </row>
    <row r="30" spans="1:21">
      <c r="A30" s="647" t="s">
        <v>583</v>
      </c>
      <c r="B30" s="647"/>
      <c r="C30" s="647"/>
      <c r="D30" s="647"/>
      <c r="E30" s="647"/>
    </row>
  </sheetData>
  <mergeCells count="19">
    <mergeCell ref="A24:B24"/>
    <mergeCell ref="G26:H26"/>
    <mergeCell ref="G27:H27"/>
    <mergeCell ref="A30:E30"/>
    <mergeCell ref="I26:J26"/>
    <mergeCell ref="I27:J27"/>
    <mergeCell ref="A18:F18"/>
    <mergeCell ref="D19:I19"/>
    <mergeCell ref="D20:I20"/>
    <mergeCell ref="A23:B23"/>
    <mergeCell ref="G23:I23"/>
    <mergeCell ref="A1:Q1"/>
    <mergeCell ref="A2:A4"/>
    <mergeCell ref="B2:D2"/>
    <mergeCell ref="E2:H3"/>
    <mergeCell ref="I2:K3"/>
    <mergeCell ref="L2:N3"/>
    <mergeCell ref="O2:Q3"/>
    <mergeCell ref="B3:D3"/>
  </mergeCells>
  <pageMargins left="0.7" right="0.7" top="0.75" bottom="0.75" header="0.3" footer="0.3"/>
  <pageSetup paperSize="9" scale="38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15"/>
  <sheetViews>
    <sheetView showGridLines="0" view="pageBreakPreview" zoomScaleSheetLayoutView="100" workbookViewId="0">
      <selection sqref="A1:XFD1048576"/>
    </sheetView>
  </sheetViews>
  <sheetFormatPr defaultColWidth="9.140625" defaultRowHeight="15"/>
  <cols>
    <col min="1" max="1" width="5.42578125" style="18" customWidth="1"/>
    <col min="2" max="2" width="17.7109375" style="109" customWidth="1"/>
    <col min="3" max="3" width="12.28515625" style="109" customWidth="1"/>
    <col min="4" max="4" width="13.85546875" style="109" customWidth="1"/>
    <col min="5" max="5" width="14" style="109" customWidth="1"/>
    <col min="6" max="6" width="15.140625" style="109" customWidth="1"/>
    <col min="7" max="7" width="14" style="109" customWidth="1"/>
    <col min="8" max="8" width="15.140625" style="109" customWidth="1"/>
    <col min="9" max="9" width="15.42578125" style="109" customWidth="1"/>
    <col min="10" max="11" width="14" style="109" customWidth="1"/>
    <col min="12" max="12" width="17.7109375" style="18" customWidth="1"/>
    <col min="13" max="16384" width="9.140625" style="18"/>
  </cols>
  <sheetData>
    <row r="1" spans="1:11" ht="31.5" customHeight="1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2" spans="1:11" ht="3.75" customHeight="1"/>
    <row r="3" spans="1:11" ht="12.75" customHeight="1"/>
    <row r="4" spans="1:11">
      <c r="A4" s="482" t="s">
        <v>429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</row>
    <row r="6" spans="1:11" ht="15.75" customHeight="1">
      <c r="A6" s="482" t="s">
        <v>203</v>
      </c>
      <c r="B6" s="482"/>
      <c r="C6" s="277">
        <v>1210121020</v>
      </c>
    </row>
    <row r="8" spans="1:11" ht="11.25" customHeight="1">
      <c r="A8" s="482" t="s">
        <v>204</v>
      </c>
      <c r="B8" s="482"/>
      <c r="C8" s="482"/>
      <c r="D8" s="278" t="s">
        <v>295</v>
      </c>
    </row>
    <row r="9" spans="1:11">
      <c r="A9" s="287"/>
      <c r="B9" s="287"/>
      <c r="C9" s="287"/>
    </row>
    <row r="10" spans="1:11">
      <c r="A10" s="110" t="s">
        <v>205</v>
      </c>
      <c r="B10" s="111"/>
      <c r="C10" s="111"/>
      <c r="D10" s="111"/>
    </row>
    <row r="11" spans="1:11">
      <c r="A11" s="110" t="s">
        <v>206</v>
      </c>
      <c r="B11" s="111"/>
      <c r="C11" s="111"/>
      <c r="D11" s="111"/>
    </row>
    <row r="13" spans="1:11" s="112" customFormat="1" ht="25.5" customHeight="1">
      <c r="A13" s="669"/>
      <c r="B13" s="668" t="s">
        <v>207</v>
      </c>
      <c r="C13" s="668" t="s">
        <v>208</v>
      </c>
      <c r="D13" s="668" t="s">
        <v>209</v>
      </c>
      <c r="E13" s="668"/>
      <c r="F13" s="668"/>
      <c r="G13" s="668"/>
      <c r="H13" s="668" t="s">
        <v>210</v>
      </c>
      <c r="I13" s="668" t="s">
        <v>305</v>
      </c>
      <c r="J13" s="668" t="s">
        <v>306</v>
      </c>
      <c r="K13" s="668" t="s">
        <v>307</v>
      </c>
    </row>
    <row r="14" spans="1:11" s="112" customFormat="1" ht="12">
      <c r="A14" s="669"/>
      <c r="B14" s="668"/>
      <c r="C14" s="668"/>
      <c r="D14" s="669" t="s">
        <v>211</v>
      </c>
      <c r="E14" s="293" t="s">
        <v>29</v>
      </c>
      <c r="F14" s="293"/>
      <c r="G14" s="293"/>
      <c r="H14" s="668"/>
      <c r="I14" s="668"/>
      <c r="J14" s="668"/>
      <c r="K14" s="668"/>
    </row>
    <row r="15" spans="1:11" s="114" customFormat="1" ht="36">
      <c r="A15" s="669"/>
      <c r="B15" s="668"/>
      <c r="C15" s="668"/>
      <c r="D15" s="669"/>
      <c r="E15" s="113" t="s">
        <v>212</v>
      </c>
      <c r="F15" s="113" t="s">
        <v>213</v>
      </c>
      <c r="G15" s="113" t="s">
        <v>214</v>
      </c>
      <c r="H15" s="668"/>
      <c r="I15" s="668"/>
      <c r="J15" s="668"/>
      <c r="K15" s="668"/>
    </row>
    <row r="16" spans="1:11" s="116" customFormat="1">
      <c r="A16" s="115">
        <v>1</v>
      </c>
      <c r="B16" s="115">
        <v>2</v>
      </c>
      <c r="C16" s="115">
        <v>3</v>
      </c>
      <c r="D16" s="115">
        <v>4</v>
      </c>
      <c r="E16" s="115">
        <v>5</v>
      </c>
      <c r="F16" s="115">
        <v>6</v>
      </c>
      <c r="G16" s="115">
        <v>7</v>
      </c>
      <c r="H16" s="115">
        <v>8</v>
      </c>
      <c r="I16" s="115">
        <v>9</v>
      </c>
      <c r="J16" s="115">
        <v>10</v>
      </c>
      <c r="K16" s="115">
        <v>11</v>
      </c>
    </row>
    <row r="17" spans="1:11" s="116" customFormat="1">
      <c r="A17" s="115"/>
      <c r="B17" s="115" t="s">
        <v>364</v>
      </c>
      <c r="C17" s="115"/>
      <c r="D17" s="322"/>
      <c r="E17" s="322"/>
      <c r="F17" s="322"/>
      <c r="G17" s="322"/>
      <c r="H17" s="322"/>
      <c r="I17" s="322"/>
      <c r="J17" s="322">
        <v>4122866</v>
      </c>
      <c r="K17" s="322">
        <v>4339063</v>
      </c>
    </row>
    <row r="18" spans="1:11" ht="24.75">
      <c r="A18" s="117">
        <v>1</v>
      </c>
      <c r="B18" s="113" t="s">
        <v>302</v>
      </c>
      <c r="C18" s="118"/>
      <c r="D18" s="157">
        <f>E18+F18+G18</f>
        <v>0</v>
      </c>
      <c r="E18" s="157"/>
      <c r="F18" s="157"/>
      <c r="G18" s="157"/>
      <c r="H18" s="157"/>
      <c r="I18" s="157">
        <f>C18*D18+H18</f>
        <v>0</v>
      </c>
      <c r="J18" s="157"/>
      <c r="K18" s="157"/>
    </row>
    <row r="19" spans="1:11">
      <c r="A19" s="117">
        <v>2</v>
      </c>
      <c r="B19" s="113" t="s">
        <v>303</v>
      </c>
      <c r="C19" s="118"/>
      <c r="D19" s="157">
        <f t="shared" ref="D19" si="0">E19+F19+G19</f>
        <v>0</v>
      </c>
      <c r="E19" s="157"/>
      <c r="F19" s="157"/>
      <c r="G19" s="157"/>
      <c r="H19" s="157"/>
      <c r="I19" s="157">
        <f t="shared" ref="I19" si="1">C19*D19+H19</f>
        <v>0</v>
      </c>
      <c r="J19" s="157"/>
      <c r="K19" s="157"/>
    </row>
    <row r="20" spans="1:11">
      <c r="A20" s="117">
        <v>3</v>
      </c>
      <c r="B20" s="113" t="s">
        <v>304</v>
      </c>
      <c r="C20" s="118">
        <v>35.6</v>
      </c>
      <c r="D20" s="157">
        <f>E20+F20+G20</f>
        <v>9507.9450000000015</v>
      </c>
      <c r="E20" s="157">
        <v>9152.5400000000009</v>
      </c>
      <c r="F20" s="157">
        <v>180.084</v>
      </c>
      <c r="G20" s="157">
        <v>175.321</v>
      </c>
      <c r="H20" s="157"/>
      <c r="I20" s="157">
        <f>ROUND((C20*(D20+H20))*9,0)</f>
        <v>3046346</v>
      </c>
      <c r="J20" s="157"/>
      <c r="K20" s="157"/>
    </row>
    <row r="21" spans="1:11" s="116" customFormat="1">
      <c r="A21" s="115"/>
      <c r="B21" s="115" t="s">
        <v>510</v>
      </c>
      <c r="C21" s="115"/>
      <c r="D21" s="322"/>
      <c r="E21" s="322"/>
      <c r="F21" s="322"/>
      <c r="G21" s="322"/>
      <c r="H21" s="322"/>
      <c r="I21" s="322"/>
      <c r="J21" s="157"/>
      <c r="K21" s="157"/>
    </row>
    <row r="22" spans="1:11" ht="24.75">
      <c r="A22" s="117">
        <v>1</v>
      </c>
      <c r="B22" s="113" t="s">
        <v>302</v>
      </c>
      <c r="C22" s="118"/>
      <c r="D22" s="157">
        <f>E22+F22+G22</f>
        <v>0</v>
      </c>
      <c r="E22" s="157"/>
      <c r="F22" s="157"/>
      <c r="G22" s="157"/>
      <c r="H22" s="157"/>
      <c r="I22" s="157">
        <f>C22*D22+H22</f>
        <v>0</v>
      </c>
      <c r="J22" s="157"/>
      <c r="K22" s="157"/>
    </row>
    <row r="23" spans="1:11">
      <c r="A23" s="117">
        <v>2</v>
      </c>
      <c r="B23" s="113" t="s">
        <v>303</v>
      </c>
      <c r="C23" s="118"/>
      <c r="D23" s="157">
        <f t="shared" ref="D23:D24" si="2">E23+F23+G23</f>
        <v>0</v>
      </c>
      <c r="E23" s="157"/>
      <c r="F23" s="157"/>
      <c r="G23" s="157"/>
      <c r="H23" s="157"/>
      <c r="I23" s="157">
        <f>C23*D23+H23</f>
        <v>0</v>
      </c>
      <c r="J23" s="157"/>
      <c r="K23" s="157"/>
    </row>
    <row r="24" spans="1:11">
      <c r="A24" s="117">
        <v>3</v>
      </c>
      <c r="B24" s="113" t="s">
        <v>304</v>
      </c>
      <c r="C24" s="118">
        <v>35.6</v>
      </c>
      <c r="D24" s="157">
        <f t="shared" si="2"/>
        <v>9549.2840000000015</v>
      </c>
      <c r="E24" s="157">
        <v>9152.5400000000009</v>
      </c>
      <c r="F24" s="157">
        <v>180.084</v>
      </c>
      <c r="G24" s="157">
        <v>216.66</v>
      </c>
      <c r="H24" s="157"/>
      <c r="I24" s="157">
        <f>ROUND((C24*(D24+H24))*3,0)</f>
        <v>1019864</v>
      </c>
      <c r="J24" s="157"/>
      <c r="K24" s="157"/>
    </row>
    <row r="25" spans="1:11" ht="48.75">
      <c r="A25" s="117"/>
      <c r="B25" s="113" t="s">
        <v>546</v>
      </c>
      <c r="C25" s="118"/>
      <c r="D25" s="157">
        <v>10100</v>
      </c>
      <c r="E25" s="157"/>
      <c r="F25" s="157"/>
      <c r="G25" s="157"/>
      <c r="H25" s="157"/>
      <c r="I25" s="157">
        <v>-10100</v>
      </c>
      <c r="J25" s="157"/>
      <c r="K25" s="157"/>
    </row>
    <row r="26" spans="1:11" s="156" customFormat="1">
      <c r="A26" s="154" t="s">
        <v>215</v>
      </c>
      <c r="B26" s="155"/>
      <c r="C26" s="155"/>
      <c r="D26" s="158"/>
      <c r="E26" s="158"/>
      <c r="F26" s="158"/>
      <c r="G26" s="158"/>
      <c r="H26" s="158"/>
      <c r="I26" s="158">
        <f>SUM(I18:I25)</f>
        <v>4056110</v>
      </c>
      <c r="J26" s="158">
        <f>SUM(J17:J24)</f>
        <v>4122866</v>
      </c>
      <c r="K26" s="158">
        <f>SUM(K17:K24)</f>
        <v>4339063</v>
      </c>
    </row>
    <row r="28" spans="1:11" s="66" customFormat="1" ht="14.25" hidden="1">
      <c r="A28" s="66" t="s">
        <v>216</v>
      </c>
      <c r="B28" s="111"/>
      <c r="C28" s="111"/>
      <c r="D28" s="111"/>
      <c r="E28" s="111"/>
      <c r="F28" s="111"/>
      <c r="G28" s="111"/>
      <c r="H28" s="111"/>
      <c r="I28" s="339"/>
      <c r="J28" s="111"/>
      <c r="K28" s="111"/>
    </row>
    <row r="29" spans="1:11" hidden="1"/>
    <row r="30" spans="1:11" s="112" customFormat="1" ht="57" hidden="1" customHeight="1">
      <c r="A30" s="119" t="s">
        <v>217</v>
      </c>
      <c r="B30" s="113" t="s">
        <v>218</v>
      </c>
      <c r="C30" s="113" t="s">
        <v>219</v>
      </c>
      <c r="D30" s="113" t="s">
        <v>220</v>
      </c>
      <c r="E30" s="113" t="s">
        <v>221</v>
      </c>
      <c r="F30" s="113" t="s">
        <v>222</v>
      </c>
      <c r="G30" s="113" t="s">
        <v>222</v>
      </c>
      <c r="H30" s="113" t="s">
        <v>222</v>
      </c>
      <c r="I30" s="120"/>
      <c r="J30" s="120"/>
      <c r="K30" s="120"/>
    </row>
    <row r="31" spans="1:11" s="116" customFormat="1" hidden="1">
      <c r="A31" s="115">
        <v>1</v>
      </c>
      <c r="B31" s="115">
        <v>2</v>
      </c>
      <c r="C31" s="115">
        <v>3</v>
      </c>
      <c r="D31" s="115">
        <v>4</v>
      </c>
      <c r="E31" s="115">
        <v>5</v>
      </c>
      <c r="F31" s="115">
        <v>6</v>
      </c>
      <c r="G31" s="115">
        <v>7</v>
      </c>
      <c r="H31" s="115">
        <v>8</v>
      </c>
    </row>
    <row r="32" spans="1:11" hidden="1">
      <c r="A32" s="117"/>
      <c r="B32" s="118"/>
      <c r="C32" s="118"/>
      <c r="D32" s="118"/>
      <c r="E32" s="118"/>
      <c r="F32" s="118"/>
      <c r="G32" s="118"/>
      <c r="H32" s="118"/>
    </row>
    <row r="33" spans="1:8" hidden="1">
      <c r="A33" s="117"/>
      <c r="B33" s="118"/>
      <c r="C33" s="118"/>
      <c r="D33" s="118"/>
      <c r="E33" s="118"/>
      <c r="F33" s="118"/>
      <c r="G33" s="118"/>
      <c r="H33" s="118"/>
    </row>
    <row r="34" spans="1:8" hidden="1">
      <c r="A34" s="117"/>
      <c r="B34" s="118"/>
      <c r="C34" s="118"/>
      <c r="D34" s="118"/>
      <c r="E34" s="118"/>
      <c r="F34" s="118"/>
      <c r="G34" s="118"/>
      <c r="H34" s="118"/>
    </row>
    <row r="35" spans="1:8" hidden="1">
      <c r="A35" s="117"/>
      <c r="B35" s="118"/>
      <c r="C35" s="118"/>
      <c r="D35" s="118"/>
      <c r="E35" s="118"/>
      <c r="F35" s="118"/>
      <c r="G35" s="118"/>
      <c r="H35" s="118"/>
    </row>
    <row r="36" spans="1:8" hidden="1">
      <c r="A36" s="117"/>
      <c r="B36" s="118"/>
      <c r="C36" s="118"/>
      <c r="D36" s="118"/>
      <c r="E36" s="118"/>
      <c r="F36" s="118"/>
      <c r="G36" s="118"/>
      <c r="H36" s="118"/>
    </row>
    <row r="37" spans="1:8" hidden="1">
      <c r="A37" s="117"/>
      <c r="B37" s="118"/>
      <c r="C37" s="118"/>
      <c r="D37" s="118"/>
      <c r="E37" s="118"/>
      <c r="F37" s="118"/>
      <c r="G37" s="118"/>
      <c r="H37" s="118"/>
    </row>
    <row r="38" spans="1:8" hidden="1">
      <c r="A38" s="117"/>
      <c r="B38" s="118"/>
      <c r="C38" s="118"/>
      <c r="D38" s="118"/>
      <c r="E38" s="118"/>
      <c r="F38" s="118"/>
      <c r="G38" s="118"/>
      <c r="H38" s="118"/>
    </row>
    <row r="39" spans="1:8" hidden="1"/>
    <row r="40" spans="1:8" ht="44.25" customHeight="1">
      <c r="A40" s="674" t="s">
        <v>223</v>
      </c>
      <c r="B40" s="674"/>
      <c r="C40" s="674"/>
      <c r="D40" s="674"/>
      <c r="E40" s="674"/>
      <c r="F40" s="674"/>
      <c r="G40" s="674"/>
      <c r="H40" s="674"/>
    </row>
    <row r="42" spans="1:8" ht="48.75">
      <c r="A42" s="119" t="s">
        <v>217</v>
      </c>
      <c r="B42" s="670" t="s">
        <v>224</v>
      </c>
      <c r="C42" s="675"/>
      <c r="D42" s="671"/>
      <c r="E42" s="113" t="s">
        <v>225</v>
      </c>
      <c r="F42" s="113" t="s">
        <v>296</v>
      </c>
      <c r="G42" s="113" t="s">
        <v>297</v>
      </c>
      <c r="H42" s="113" t="s">
        <v>298</v>
      </c>
    </row>
    <row r="43" spans="1:8">
      <c r="A43" s="115">
        <v>1</v>
      </c>
      <c r="B43" s="672">
        <v>2</v>
      </c>
      <c r="C43" s="676"/>
      <c r="D43" s="673"/>
      <c r="E43" s="115">
        <v>3</v>
      </c>
      <c r="F43" s="115">
        <v>4</v>
      </c>
      <c r="G43" s="115">
        <v>5</v>
      </c>
      <c r="H43" s="115">
        <v>6</v>
      </c>
    </row>
    <row r="44" spans="1:8" ht="30" customHeight="1">
      <c r="A44" s="117">
        <v>1</v>
      </c>
      <c r="B44" s="677" t="s">
        <v>226</v>
      </c>
      <c r="C44" s="678"/>
      <c r="D44" s="679"/>
      <c r="E44" s="157"/>
      <c r="F44" s="157">
        <f>F46</f>
        <v>894566.2</v>
      </c>
      <c r="G44" s="157">
        <f t="shared" ref="G44:H44" si="3">G46</f>
        <v>909253</v>
      </c>
      <c r="H44" s="157">
        <f t="shared" si="3"/>
        <v>956816</v>
      </c>
    </row>
    <row r="45" spans="1:8" ht="21" customHeight="1">
      <c r="A45" s="117"/>
      <c r="B45" s="677" t="s">
        <v>29</v>
      </c>
      <c r="C45" s="678"/>
      <c r="D45" s="679"/>
      <c r="E45" s="157"/>
      <c r="F45" s="157"/>
      <c r="G45" s="157"/>
      <c r="H45" s="157"/>
    </row>
    <row r="46" spans="1:8" ht="21" customHeight="1">
      <c r="A46" s="121"/>
      <c r="B46" s="677" t="s">
        <v>227</v>
      </c>
      <c r="C46" s="678"/>
      <c r="D46" s="679"/>
      <c r="E46" s="157">
        <f>I26+10100</f>
        <v>4066210</v>
      </c>
      <c r="F46" s="157">
        <f>(E46*0.22)</f>
        <v>894566.2</v>
      </c>
      <c r="G46" s="157">
        <f>ROUND((J26+G58)*0.22,0)</f>
        <v>909253</v>
      </c>
      <c r="H46" s="157">
        <f>ROUND((K26+H58)*0.22,0)</f>
        <v>956816</v>
      </c>
    </row>
    <row r="47" spans="1:8" ht="27.75" customHeight="1">
      <c r="A47" s="117">
        <v>2</v>
      </c>
      <c r="B47" s="677" t="s">
        <v>228</v>
      </c>
      <c r="C47" s="678"/>
      <c r="D47" s="679"/>
      <c r="E47" s="157"/>
      <c r="F47" s="157">
        <f>F48+F49</f>
        <v>126052.51000000001</v>
      </c>
      <c r="G47" s="157">
        <f>G48+G49</f>
        <v>128122</v>
      </c>
      <c r="H47" s="157">
        <f t="shared" ref="H47" si="4">H48+H49</f>
        <v>134824</v>
      </c>
    </row>
    <row r="48" spans="1:8" ht="42" customHeight="1">
      <c r="A48" s="117"/>
      <c r="B48" s="677" t="s">
        <v>229</v>
      </c>
      <c r="C48" s="678"/>
      <c r="D48" s="679"/>
      <c r="E48" s="157">
        <f>E46</f>
        <v>4066210</v>
      </c>
      <c r="F48" s="157">
        <f>(E48*0.029)</f>
        <v>117920.09000000001</v>
      </c>
      <c r="G48" s="157">
        <f>ROUND((J26+G58)*0.029,0)</f>
        <v>119856</v>
      </c>
      <c r="H48" s="157">
        <f>ROUND((K26+H58)*0.029,0)</f>
        <v>126126</v>
      </c>
    </row>
    <row r="49" spans="1:11" ht="39" customHeight="1">
      <c r="A49" s="117"/>
      <c r="B49" s="677" t="s">
        <v>230</v>
      </c>
      <c r="C49" s="678"/>
      <c r="D49" s="679"/>
      <c r="E49" s="157">
        <f>E48</f>
        <v>4066210</v>
      </c>
      <c r="F49" s="157">
        <f>(E49*0.002)</f>
        <v>8132.42</v>
      </c>
      <c r="G49" s="157">
        <f>ROUND((J26+G58)*0.002,0)</f>
        <v>8266</v>
      </c>
      <c r="H49" s="157">
        <f>ROUND((K26+H58)*0.002,0)</f>
        <v>8698</v>
      </c>
    </row>
    <row r="50" spans="1:11" ht="35.25" customHeight="1">
      <c r="A50" s="117">
        <v>3</v>
      </c>
      <c r="B50" s="677" t="s">
        <v>231</v>
      </c>
      <c r="C50" s="678"/>
      <c r="D50" s="679"/>
      <c r="E50" s="157">
        <f>E49</f>
        <v>4066210</v>
      </c>
      <c r="F50" s="157">
        <f>(E50*0.051)</f>
        <v>207376.71</v>
      </c>
      <c r="G50" s="157">
        <f>ROUND((J26+G58)*0.051,0)</f>
        <v>210781</v>
      </c>
      <c r="H50" s="157">
        <f>ROUND((K26+H58)*0.051,0)</f>
        <v>221807</v>
      </c>
    </row>
    <row r="51" spans="1:11" s="156" customFormat="1">
      <c r="A51" s="154"/>
      <c r="B51" s="680" t="s">
        <v>215</v>
      </c>
      <c r="C51" s="680"/>
      <c r="D51" s="680"/>
      <c r="E51" s="158"/>
      <c r="F51" s="158">
        <f>ROUND((F44+F47+F50),0)</f>
        <v>1227995</v>
      </c>
      <c r="G51" s="158">
        <f t="shared" ref="G51:H51" si="5">G44+G47+G50</f>
        <v>1248156</v>
      </c>
      <c r="H51" s="158">
        <f t="shared" si="5"/>
        <v>1313447</v>
      </c>
      <c r="I51" s="159"/>
      <c r="J51" s="159"/>
      <c r="K51" s="159"/>
    </row>
    <row r="52" spans="1:11">
      <c r="F52" s="308"/>
      <c r="G52" s="308"/>
    </row>
    <row r="53" spans="1:11" s="66" customFormat="1" ht="14.25">
      <c r="A53" s="66" t="s">
        <v>232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5" spans="1:11" ht="48.75" customHeight="1">
      <c r="A55" s="119" t="s">
        <v>217</v>
      </c>
      <c r="B55" s="670" t="s">
        <v>0</v>
      </c>
      <c r="C55" s="671"/>
      <c r="D55" s="113" t="s">
        <v>233</v>
      </c>
      <c r="E55" s="113" t="s">
        <v>234</v>
      </c>
      <c r="F55" s="113" t="s">
        <v>299</v>
      </c>
      <c r="G55" s="113" t="s">
        <v>300</v>
      </c>
      <c r="H55" s="113" t="s">
        <v>301</v>
      </c>
    </row>
    <row r="56" spans="1:11">
      <c r="A56" s="115">
        <v>1</v>
      </c>
      <c r="B56" s="672">
        <v>2</v>
      </c>
      <c r="C56" s="673"/>
      <c r="D56" s="115">
        <v>3</v>
      </c>
      <c r="E56" s="115">
        <v>4</v>
      </c>
      <c r="F56" s="115">
        <v>5</v>
      </c>
      <c r="G56" s="115">
        <v>6</v>
      </c>
      <c r="H56" s="115">
        <v>7</v>
      </c>
    </row>
    <row r="57" spans="1:11">
      <c r="A57" s="117">
        <v>1</v>
      </c>
      <c r="B57" s="672" t="s">
        <v>308</v>
      </c>
      <c r="C57" s="673"/>
      <c r="D57" s="118">
        <v>50</v>
      </c>
      <c r="E57" s="118">
        <f>12*15</f>
        <v>180</v>
      </c>
      <c r="F57" s="157">
        <f>D57*E57</f>
        <v>9000</v>
      </c>
      <c r="G57" s="157">
        <v>9000</v>
      </c>
      <c r="H57" s="157">
        <v>9000</v>
      </c>
    </row>
    <row r="58" spans="1:11">
      <c r="A58" s="117">
        <v>2</v>
      </c>
      <c r="B58" s="672" t="s">
        <v>362</v>
      </c>
      <c r="C58" s="673"/>
      <c r="D58" s="118"/>
      <c r="E58" s="118"/>
      <c r="F58" s="157">
        <v>10100</v>
      </c>
      <c r="G58" s="157">
        <v>10100</v>
      </c>
      <c r="H58" s="157">
        <v>10100</v>
      </c>
    </row>
    <row r="59" spans="1:11" s="156" customFormat="1">
      <c r="A59" s="154"/>
      <c r="B59" s="681" t="s">
        <v>215</v>
      </c>
      <c r="C59" s="682"/>
      <c r="D59" s="155"/>
      <c r="E59" s="155"/>
      <c r="F59" s="158">
        <f>SUM(F57:F58)</f>
        <v>19100</v>
      </c>
      <c r="G59" s="158">
        <f>SUM(G57:G58)</f>
        <v>19100</v>
      </c>
      <c r="H59" s="158">
        <f>SUM(H57:H58)</f>
        <v>19100</v>
      </c>
      <c r="I59" s="159"/>
      <c r="J59" s="159"/>
      <c r="K59" s="159"/>
    </row>
    <row r="61" spans="1:11" s="66" customFormat="1" ht="14.25">
      <c r="A61" s="66" t="s">
        <v>235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</row>
    <row r="63" spans="1:11" ht="72.75">
      <c r="A63" s="119" t="s">
        <v>217</v>
      </c>
      <c r="B63" s="670" t="s">
        <v>236</v>
      </c>
      <c r="C63" s="671"/>
      <c r="D63" s="113" t="s">
        <v>237</v>
      </c>
      <c r="E63" s="113" t="s">
        <v>238</v>
      </c>
      <c r="F63" s="113" t="s">
        <v>311</v>
      </c>
      <c r="G63" s="113" t="s">
        <v>312</v>
      </c>
      <c r="H63" s="113" t="s">
        <v>313</v>
      </c>
    </row>
    <row r="64" spans="1:11">
      <c r="A64" s="115">
        <v>1</v>
      </c>
      <c r="B64" s="672">
        <v>2</v>
      </c>
      <c r="C64" s="673"/>
      <c r="D64" s="115">
        <v>3</v>
      </c>
      <c r="E64" s="115">
        <v>4</v>
      </c>
      <c r="F64" s="115">
        <v>5</v>
      </c>
      <c r="G64" s="115">
        <v>6</v>
      </c>
      <c r="H64" s="115">
        <v>7</v>
      </c>
    </row>
    <row r="65" spans="1:11">
      <c r="A65" s="117">
        <v>1</v>
      </c>
      <c r="B65" s="684" t="s">
        <v>309</v>
      </c>
      <c r="C65" s="685"/>
      <c r="D65" s="118">
        <v>37401111.969999999</v>
      </c>
      <c r="E65" s="160">
        <v>1.4999999999999999E-2</v>
      </c>
      <c r="F65" s="157">
        <f>ROUND(D65*E65,0)</f>
        <v>561017</v>
      </c>
      <c r="G65" s="157">
        <f>F65</f>
        <v>561017</v>
      </c>
      <c r="H65" s="157">
        <f>G65</f>
        <v>561017</v>
      </c>
    </row>
    <row r="66" spans="1:11">
      <c r="A66" s="117">
        <v>2</v>
      </c>
      <c r="B66" s="684" t="s">
        <v>310</v>
      </c>
      <c r="C66" s="685"/>
      <c r="D66" s="118">
        <v>3472954.55</v>
      </c>
      <c r="E66" s="160">
        <v>2.1999999999999999E-2</v>
      </c>
      <c r="F66" s="157">
        <f>ROUND(D66*E66,0)</f>
        <v>76405</v>
      </c>
      <c r="G66" s="157">
        <f>F66</f>
        <v>76405</v>
      </c>
      <c r="H66" s="157">
        <f>G66</f>
        <v>76405</v>
      </c>
    </row>
    <row r="67" spans="1:11" s="156" customFormat="1">
      <c r="A67" s="154"/>
      <c r="B67" s="681" t="s">
        <v>215</v>
      </c>
      <c r="C67" s="682"/>
      <c r="D67" s="155"/>
      <c r="E67" s="155"/>
      <c r="F67" s="158">
        <f>SUM(F65:F66)</f>
        <v>637422</v>
      </c>
      <c r="G67" s="158">
        <f>SUM(G65:G66)</f>
        <v>637422</v>
      </c>
      <c r="H67" s="158">
        <f>SUM(H65:H66)</f>
        <v>637422</v>
      </c>
      <c r="I67" s="159"/>
      <c r="J67" s="159"/>
      <c r="K67" s="159"/>
    </row>
    <row r="69" spans="1:11" hidden="1">
      <c r="A69" s="683" t="s">
        <v>239</v>
      </c>
      <c r="B69" s="683"/>
      <c r="C69" s="683"/>
      <c r="D69" s="683"/>
      <c r="E69" s="683"/>
      <c r="F69" s="683"/>
      <c r="G69" s="683"/>
      <c r="H69" s="683"/>
    </row>
    <row r="70" spans="1:11" hidden="1"/>
    <row r="71" spans="1:11" ht="36.75" hidden="1">
      <c r="A71" s="119" t="s">
        <v>217</v>
      </c>
      <c r="B71" s="670" t="s">
        <v>0</v>
      </c>
      <c r="C71" s="671"/>
      <c r="D71" s="113" t="s">
        <v>240</v>
      </c>
      <c r="E71" s="113" t="s">
        <v>234</v>
      </c>
      <c r="F71" s="113" t="s">
        <v>241</v>
      </c>
      <c r="G71" s="113" t="s">
        <v>241</v>
      </c>
      <c r="H71" s="113" t="s">
        <v>241</v>
      </c>
    </row>
    <row r="72" spans="1:11" hidden="1">
      <c r="A72" s="115">
        <v>1</v>
      </c>
      <c r="B72" s="672">
        <v>2</v>
      </c>
      <c r="C72" s="673"/>
      <c r="D72" s="115">
        <v>3</v>
      </c>
      <c r="E72" s="115">
        <v>4</v>
      </c>
      <c r="F72" s="115">
        <v>5</v>
      </c>
      <c r="G72" s="115">
        <v>6</v>
      </c>
      <c r="H72" s="115">
        <v>7</v>
      </c>
    </row>
    <row r="73" spans="1:11" ht="28.5" hidden="1" customHeight="1">
      <c r="A73" s="117"/>
      <c r="B73" s="672"/>
      <c r="C73" s="673"/>
      <c r="D73" s="118"/>
      <c r="E73" s="118"/>
      <c r="F73" s="118"/>
      <c r="G73" s="118"/>
      <c r="H73" s="118"/>
    </row>
    <row r="74" spans="1:11" hidden="1">
      <c r="A74" s="117"/>
      <c r="B74" s="672"/>
      <c r="C74" s="673"/>
      <c r="D74" s="118"/>
      <c r="E74" s="118"/>
      <c r="F74" s="118"/>
      <c r="G74" s="118"/>
      <c r="H74" s="118"/>
    </row>
    <row r="75" spans="1:11" ht="39.75" hidden="1" customHeight="1">
      <c r="A75" s="117"/>
      <c r="B75" s="672"/>
      <c r="C75" s="673"/>
      <c r="D75" s="118"/>
      <c r="E75" s="118"/>
      <c r="F75" s="118"/>
      <c r="G75" s="118"/>
      <c r="H75" s="118"/>
    </row>
    <row r="76" spans="1:11" hidden="1">
      <c r="A76" s="117"/>
      <c r="B76" s="672"/>
      <c r="C76" s="673"/>
      <c r="D76" s="118"/>
      <c r="E76" s="118"/>
      <c r="F76" s="118"/>
      <c r="G76" s="118"/>
      <c r="H76" s="118"/>
    </row>
    <row r="77" spans="1:11" hidden="1">
      <c r="A77" s="117"/>
      <c r="B77" s="672"/>
      <c r="C77" s="673"/>
      <c r="D77" s="118"/>
      <c r="E77" s="118"/>
      <c r="F77" s="118"/>
      <c r="G77" s="118"/>
      <c r="H77" s="118"/>
    </row>
    <row r="78" spans="1:11" hidden="1">
      <c r="A78" s="117"/>
      <c r="B78" s="672"/>
      <c r="C78" s="673"/>
      <c r="D78" s="118"/>
      <c r="E78" s="118"/>
      <c r="F78" s="118"/>
      <c r="G78" s="118"/>
      <c r="H78" s="118"/>
    </row>
    <row r="79" spans="1:11" hidden="1">
      <c r="A79" s="117"/>
      <c r="B79" s="672" t="s">
        <v>215</v>
      </c>
      <c r="C79" s="673"/>
      <c r="D79" s="118"/>
      <c r="E79" s="118"/>
      <c r="F79" s="118"/>
      <c r="G79" s="118"/>
      <c r="H79" s="118"/>
    </row>
    <row r="80" spans="1:11" hidden="1"/>
    <row r="81" spans="1:11" s="66" customFormat="1" ht="14.25">
      <c r="A81" s="66" t="s">
        <v>242</v>
      </c>
      <c r="B81" s="111"/>
      <c r="C81" s="111"/>
      <c r="D81" s="111"/>
      <c r="E81" s="111"/>
      <c r="F81" s="111"/>
      <c r="G81" s="111"/>
      <c r="H81" s="111"/>
      <c r="I81" s="111"/>
      <c r="J81" s="111"/>
      <c r="K81" s="111"/>
    </row>
    <row r="82" spans="1:11" s="66" customFormat="1" ht="14.25">
      <c r="A82" s="66" t="s">
        <v>243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</row>
    <row r="84" spans="1:11" ht="24.75">
      <c r="A84" s="119" t="s">
        <v>217</v>
      </c>
      <c r="B84" s="670" t="s">
        <v>0</v>
      </c>
      <c r="C84" s="671"/>
      <c r="D84" s="113" t="s">
        <v>244</v>
      </c>
      <c r="E84" s="113" t="s">
        <v>245</v>
      </c>
      <c r="F84" s="113" t="s">
        <v>246</v>
      </c>
      <c r="G84" s="113" t="s">
        <v>299</v>
      </c>
      <c r="H84" s="113" t="s">
        <v>300</v>
      </c>
      <c r="I84" s="113" t="s">
        <v>301</v>
      </c>
    </row>
    <row r="85" spans="1:11" ht="14.25" customHeight="1">
      <c r="A85" s="115">
        <v>1</v>
      </c>
      <c r="B85" s="672">
        <v>2</v>
      </c>
      <c r="C85" s="673"/>
      <c r="D85" s="115">
        <v>3</v>
      </c>
      <c r="E85" s="115">
        <v>4</v>
      </c>
      <c r="F85" s="115">
        <v>5</v>
      </c>
      <c r="G85" s="115">
        <v>6</v>
      </c>
      <c r="H85" s="115">
        <v>7</v>
      </c>
      <c r="I85" s="115">
        <v>8</v>
      </c>
    </row>
    <row r="86" spans="1:11" ht="14.25" customHeight="1">
      <c r="A86" s="117"/>
      <c r="B86" s="684" t="s">
        <v>430</v>
      </c>
      <c r="C86" s="685"/>
      <c r="D86" s="118">
        <v>2</v>
      </c>
      <c r="E86" s="118">
        <v>12</v>
      </c>
      <c r="F86" s="118">
        <v>502.8</v>
      </c>
      <c r="G86" s="157">
        <f>D86*E86*F86</f>
        <v>12067.2</v>
      </c>
      <c r="H86" s="157">
        <v>12067.2</v>
      </c>
      <c r="I86" s="157">
        <v>12067.2</v>
      </c>
    </row>
    <row r="87" spans="1:11">
      <c r="A87" s="117"/>
      <c r="B87" s="296" t="s">
        <v>316</v>
      </c>
      <c r="C87" s="297"/>
      <c r="D87" s="118">
        <v>7422</v>
      </c>
      <c r="E87" s="118">
        <v>1</v>
      </c>
      <c r="F87" s="306">
        <v>0.62004899999999996</v>
      </c>
      <c r="G87" s="157">
        <f t="shared" ref="G87" si="6">D87*E87*F87</f>
        <v>4602.003678</v>
      </c>
      <c r="H87" s="157">
        <v>4602</v>
      </c>
      <c r="I87" s="157">
        <v>4602</v>
      </c>
    </row>
    <row r="88" spans="1:11">
      <c r="A88" s="117"/>
      <c r="B88" s="296" t="s">
        <v>317</v>
      </c>
      <c r="C88" s="297"/>
      <c r="D88" s="118">
        <v>1</v>
      </c>
      <c r="E88" s="118">
        <v>12</v>
      </c>
      <c r="F88" s="118">
        <v>3502.37</v>
      </c>
      <c r="G88" s="157">
        <f>D88*E88*F88-0.44</f>
        <v>42028</v>
      </c>
      <c r="H88" s="157">
        <v>42028</v>
      </c>
      <c r="I88" s="157">
        <v>42028</v>
      </c>
    </row>
    <row r="89" spans="1:11" s="156" customFormat="1">
      <c r="A89" s="154"/>
      <c r="B89" s="681" t="s">
        <v>215</v>
      </c>
      <c r="C89" s="682"/>
      <c r="D89" s="155"/>
      <c r="E89" s="155"/>
      <c r="F89" s="155"/>
      <c r="G89" s="158">
        <f>ROUND(SUM(G86:G88),0)</f>
        <v>58697</v>
      </c>
      <c r="H89" s="158">
        <f>ROUND(SUM(H86:H88),0)</f>
        <v>58697</v>
      </c>
      <c r="I89" s="158">
        <f>ROUND(SUM(I86:I88),0)</f>
        <v>58697</v>
      </c>
      <c r="J89" s="159"/>
      <c r="K89" s="159"/>
    </row>
    <row r="91" spans="1:11" s="66" customFormat="1" ht="14.25" hidden="1">
      <c r="A91" s="66" t="s">
        <v>247</v>
      </c>
      <c r="B91" s="111"/>
      <c r="C91" s="111"/>
      <c r="D91" s="111"/>
      <c r="E91" s="111"/>
      <c r="F91" s="111"/>
      <c r="G91" s="111"/>
      <c r="H91" s="111"/>
      <c r="I91" s="111"/>
      <c r="J91" s="111"/>
      <c r="K91" s="111"/>
    </row>
    <row r="92" spans="1:11" hidden="1"/>
    <row r="93" spans="1:11" ht="36.75" hidden="1">
      <c r="A93" s="119" t="s">
        <v>217</v>
      </c>
      <c r="B93" s="670" t="s">
        <v>236</v>
      </c>
      <c r="C93" s="671"/>
      <c r="D93" s="113" t="s">
        <v>248</v>
      </c>
      <c r="E93" s="113" t="s">
        <v>249</v>
      </c>
      <c r="F93" s="113" t="s">
        <v>299</v>
      </c>
      <c r="G93" s="113" t="s">
        <v>300</v>
      </c>
      <c r="H93" s="113" t="s">
        <v>301</v>
      </c>
    </row>
    <row r="94" spans="1:11" hidden="1">
      <c r="A94" s="115">
        <v>1</v>
      </c>
      <c r="B94" s="672">
        <v>2</v>
      </c>
      <c r="C94" s="673"/>
      <c r="D94" s="115">
        <v>3</v>
      </c>
      <c r="E94" s="115">
        <v>4</v>
      </c>
      <c r="F94" s="115">
        <v>5</v>
      </c>
      <c r="G94" s="115">
        <v>6</v>
      </c>
      <c r="H94" s="115">
        <v>7</v>
      </c>
    </row>
    <row r="95" spans="1:11" hidden="1">
      <c r="A95" s="117">
        <v>1</v>
      </c>
      <c r="B95" s="672" t="s">
        <v>353</v>
      </c>
      <c r="C95" s="673"/>
      <c r="D95" s="118"/>
      <c r="E95" s="118"/>
      <c r="F95" s="118">
        <f>D95*E95</f>
        <v>0</v>
      </c>
      <c r="G95" s="118"/>
      <c r="H95" s="118"/>
    </row>
    <row r="96" spans="1:11" hidden="1">
      <c r="A96" s="117"/>
      <c r="B96" s="672"/>
      <c r="C96" s="673"/>
      <c r="D96" s="118"/>
      <c r="E96" s="118"/>
      <c r="F96" s="118">
        <f t="shared" ref="F96:F100" si="7">D96*E96</f>
        <v>0</v>
      </c>
      <c r="G96" s="118"/>
      <c r="H96" s="118"/>
    </row>
    <row r="97" spans="1:11" hidden="1">
      <c r="A97" s="117"/>
      <c r="B97" s="672"/>
      <c r="C97" s="673"/>
      <c r="D97" s="118"/>
      <c r="E97" s="118"/>
      <c r="F97" s="118">
        <f t="shared" si="7"/>
        <v>0</v>
      </c>
      <c r="G97" s="118"/>
      <c r="H97" s="118"/>
    </row>
    <row r="98" spans="1:11" hidden="1">
      <c r="A98" s="117"/>
      <c r="B98" s="672"/>
      <c r="C98" s="673"/>
      <c r="D98" s="118"/>
      <c r="E98" s="118"/>
      <c r="F98" s="118">
        <f t="shared" si="7"/>
        <v>0</v>
      </c>
      <c r="G98" s="118"/>
      <c r="H98" s="118"/>
    </row>
    <row r="99" spans="1:11" hidden="1">
      <c r="A99" s="117"/>
      <c r="B99" s="672"/>
      <c r="C99" s="673"/>
      <c r="D99" s="118"/>
      <c r="E99" s="118"/>
      <c r="F99" s="118">
        <f t="shared" si="7"/>
        <v>0</v>
      </c>
      <c r="G99" s="118"/>
      <c r="H99" s="118"/>
    </row>
    <row r="100" spans="1:11" hidden="1">
      <c r="A100" s="117"/>
      <c r="B100" s="672"/>
      <c r="C100" s="673"/>
      <c r="D100" s="118"/>
      <c r="E100" s="118"/>
      <c r="F100" s="118">
        <f t="shared" si="7"/>
        <v>0</v>
      </c>
      <c r="G100" s="118"/>
      <c r="H100" s="118"/>
    </row>
    <row r="101" spans="1:11" s="156" customFormat="1" hidden="1">
      <c r="A101" s="154"/>
      <c r="B101" s="681" t="s">
        <v>215</v>
      </c>
      <c r="C101" s="682"/>
      <c r="D101" s="155"/>
      <c r="E101" s="155"/>
      <c r="F101" s="155">
        <f>SUM(F95:F100)</f>
        <v>0</v>
      </c>
      <c r="G101" s="155">
        <f t="shared" ref="G101:H101" si="8">SUM(G95:G100)</f>
        <v>0</v>
      </c>
      <c r="H101" s="155">
        <f t="shared" si="8"/>
        <v>0</v>
      </c>
      <c r="I101" s="159"/>
      <c r="J101" s="159"/>
      <c r="K101" s="159"/>
    </row>
    <row r="102" spans="1:11" hidden="1"/>
    <row r="103" spans="1:11" s="66" customFormat="1" ht="14.25">
      <c r="A103" s="66" t="s">
        <v>250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</row>
    <row r="105" spans="1:11" ht="36.75">
      <c r="A105" s="119" t="s">
        <v>217</v>
      </c>
      <c r="B105" s="670" t="s">
        <v>0</v>
      </c>
      <c r="C105" s="671"/>
      <c r="D105" s="113" t="s">
        <v>251</v>
      </c>
      <c r="E105" s="113" t="s">
        <v>252</v>
      </c>
      <c r="F105" s="113" t="s">
        <v>253</v>
      </c>
      <c r="G105" s="113" t="s">
        <v>299</v>
      </c>
      <c r="H105" s="113" t="s">
        <v>300</v>
      </c>
      <c r="I105" s="113" t="s">
        <v>301</v>
      </c>
    </row>
    <row r="106" spans="1:11">
      <c r="A106" s="115">
        <v>1</v>
      </c>
      <c r="B106" s="672">
        <v>2</v>
      </c>
      <c r="C106" s="673"/>
      <c r="D106" s="115">
        <v>3</v>
      </c>
      <c r="E106" s="115">
        <v>4</v>
      </c>
      <c r="F106" s="115">
        <v>5</v>
      </c>
      <c r="G106" s="115">
        <v>6</v>
      </c>
      <c r="H106" s="115">
        <v>7</v>
      </c>
      <c r="I106" s="115">
        <v>8</v>
      </c>
    </row>
    <row r="107" spans="1:11">
      <c r="A107" s="115">
        <v>1</v>
      </c>
      <c r="B107" s="686" t="s">
        <v>431</v>
      </c>
      <c r="C107" s="687"/>
      <c r="D107" s="157">
        <v>76528</v>
      </c>
      <c r="E107" s="157">
        <v>7.18</v>
      </c>
      <c r="F107" s="157">
        <v>1</v>
      </c>
      <c r="G107" s="157">
        <f>D107*E107*F107</f>
        <v>549471.03999999992</v>
      </c>
      <c r="H107" s="157">
        <v>560460.46</v>
      </c>
      <c r="I107" s="157">
        <v>619274.27</v>
      </c>
    </row>
    <row r="108" spans="1:11">
      <c r="A108" s="115"/>
      <c r="B108" s="684"/>
      <c r="C108" s="685"/>
      <c r="D108" s="157">
        <v>71991</v>
      </c>
      <c r="E108" s="157">
        <v>7.86</v>
      </c>
      <c r="F108" s="157">
        <v>1</v>
      </c>
      <c r="G108" s="157">
        <f t="shared" ref="G108:G119" si="9">D108*E108*F108</f>
        <v>565849.26</v>
      </c>
      <c r="H108" s="157">
        <v>577166.24</v>
      </c>
      <c r="I108" s="157">
        <v>672709.57</v>
      </c>
    </row>
    <row r="109" spans="1:11">
      <c r="A109" s="115">
        <v>2</v>
      </c>
      <c r="B109" s="688" t="s">
        <v>432</v>
      </c>
      <c r="C109" s="689"/>
      <c r="D109" s="157">
        <v>625.82000000000005</v>
      </c>
      <c r="E109" s="157">
        <v>1760.9879000000001</v>
      </c>
      <c r="F109" s="157">
        <v>1</v>
      </c>
      <c r="G109" s="157">
        <f>ROUND(D109*E109*F109,2)</f>
        <v>1102061.45</v>
      </c>
      <c r="H109" s="157">
        <v>1111072.08</v>
      </c>
      <c r="I109" s="157">
        <v>1146553.52</v>
      </c>
    </row>
    <row r="110" spans="1:11">
      <c r="A110" s="115"/>
      <c r="B110" s="684"/>
      <c r="C110" s="685"/>
      <c r="D110" s="157">
        <v>250.03</v>
      </c>
      <c r="E110" s="157">
        <v>1821.8762400000001</v>
      </c>
      <c r="F110" s="157">
        <v>1</v>
      </c>
      <c r="G110" s="157">
        <f>ROUND(D110*E110*F110,2)-0.01</f>
        <v>455523.70999999996</v>
      </c>
      <c r="H110" s="157">
        <v>457634.18</v>
      </c>
      <c r="I110" s="157">
        <v>478926.87</v>
      </c>
    </row>
    <row r="111" spans="1:11">
      <c r="A111" s="115">
        <v>3</v>
      </c>
      <c r="B111" s="688" t="s">
        <v>433</v>
      </c>
      <c r="C111" s="689"/>
      <c r="D111" s="157">
        <v>2381</v>
      </c>
      <c r="E111" s="157">
        <v>25.72</v>
      </c>
      <c r="F111" s="157">
        <v>1</v>
      </c>
      <c r="G111" s="157">
        <f t="shared" si="9"/>
        <v>61239.32</v>
      </c>
      <c r="H111" s="157">
        <v>61264.11</v>
      </c>
      <c r="I111" s="157">
        <v>68212.509999999995</v>
      </c>
    </row>
    <row r="112" spans="1:11">
      <c r="A112" s="115"/>
      <c r="B112" s="296"/>
      <c r="C112" s="297"/>
      <c r="D112" s="157">
        <v>1976.28</v>
      </c>
      <c r="E112" s="157">
        <v>26.34</v>
      </c>
      <c r="F112" s="157">
        <v>1</v>
      </c>
      <c r="G112" s="157">
        <f t="shared" si="9"/>
        <v>52055.215199999999</v>
      </c>
      <c r="H112" s="157">
        <v>52096.32</v>
      </c>
      <c r="I112" s="157">
        <v>53154.21</v>
      </c>
    </row>
    <row r="113" spans="1:12">
      <c r="A113" s="115"/>
      <c r="B113" s="296"/>
      <c r="C113" s="297"/>
      <c r="D113" s="157">
        <v>4171.3140000000003</v>
      </c>
      <c r="E113" s="157">
        <v>16.899999999999999</v>
      </c>
      <c r="F113" s="157">
        <v>1</v>
      </c>
      <c r="G113" s="157">
        <f t="shared" si="9"/>
        <v>70495.206600000005</v>
      </c>
      <c r="H113" s="157">
        <v>71905.11</v>
      </c>
      <c r="I113" s="157">
        <v>71603.149999999994</v>
      </c>
    </row>
    <row r="114" spans="1:12">
      <c r="A114" s="115"/>
      <c r="B114" s="296"/>
      <c r="C114" s="297"/>
      <c r="D114" s="157">
        <v>3016.1379999999999</v>
      </c>
      <c r="E114" s="157">
        <v>17.32</v>
      </c>
      <c r="F114" s="157">
        <v>1</v>
      </c>
      <c r="G114" s="157">
        <f>D114*E114*F114+0.23</f>
        <v>52239.740160000001</v>
      </c>
      <c r="H114" s="157">
        <v>52944.93</v>
      </c>
      <c r="I114" s="157">
        <v>53350.23</v>
      </c>
    </row>
    <row r="115" spans="1:12">
      <c r="A115" s="115">
        <v>4</v>
      </c>
      <c r="B115" s="684" t="s">
        <v>434</v>
      </c>
      <c r="C115" s="685"/>
      <c r="D115" s="157">
        <v>128.83000000000001</v>
      </c>
      <c r="E115" s="157">
        <v>1760.99</v>
      </c>
      <c r="F115" s="157">
        <v>1</v>
      </c>
      <c r="G115" s="157">
        <f>D115*E115*F115+0.01</f>
        <v>226868.35170000003</v>
      </c>
      <c r="H115" s="157">
        <v>231405.72</v>
      </c>
      <c r="I115" s="157">
        <v>231633.4</v>
      </c>
    </row>
    <row r="116" spans="1:12">
      <c r="A116" s="115"/>
      <c r="B116" s="294"/>
      <c r="C116" s="295"/>
      <c r="D116" s="157">
        <v>64.5852</v>
      </c>
      <c r="E116" s="157">
        <v>1821.88</v>
      </c>
      <c r="F116" s="157">
        <v>1</v>
      </c>
      <c r="G116" s="157">
        <f t="shared" si="9"/>
        <v>117666.48417600001</v>
      </c>
      <c r="H116" s="157">
        <v>120019.89</v>
      </c>
      <c r="I116" s="157">
        <v>120420.21</v>
      </c>
    </row>
    <row r="117" spans="1:12">
      <c r="A117" s="115"/>
      <c r="B117" s="294"/>
      <c r="C117" s="295"/>
      <c r="D117" s="157">
        <v>1790.3140000000001</v>
      </c>
      <c r="E117" s="157">
        <v>25.72</v>
      </c>
      <c r="F117" s="157">
        <v>1</v>
      </c>
      <c r="G117" s="157">
        <f>D117*E117*F117</f>
        <v>46046.876080000002</v>
      </c>
      <c r="H117" s="157">
        <v>44967.82</v>
      </c>
      <c r="I117" s="157">
        <v>46907.17</v>
      </c>
    </row>
    <row r="118" spans="1:12">
      <c r="A118" s="115"/>
      <c r="B118" s="672"/>
      <c r="C118" s="673"/>
      <c r="D118" s="157">
        <v>1039.8579999999999</v>
      </c>
      <c r="E118" s="157">
        <v>26.34</v>
      </c>
      <c r="F118" s="157">
        <v>1</v>
      </c>
      <c r="G118" s="157">
        <f t="shared" si="9"/>
        <v>27389.859719999997</v>
      </c>
      <c r="H118" s="157">
        <v>27937.66</v>
      </c>
      <c r="I118" s="157">
        <v>28456.41</v>
      </c>
    </row>
    <row r="119" spans="1:12">
      <c r="A119" s="115">
        <v>5</v>
      </c>
      <c r="B119" s="688" t="s">
        <v>435</v>
      </c>
      <c r="C119" s="689"/>
      <c r="D119" s="157">
        <v>31.302</v>
      </c>
      <c r="E119" s="157">
        <v>474.33999</v>
      </c>
      <c r="F119" s="157">
        <v>12</v>
      </c>
      <c r="G119" s="157">
        <f t="shared" si="9"/>
        <v>178173.48440376</v>
      </c>
      <c r="H119" s="157">
        <v>178173.48</v>
      </c>
      <c r="I119" s="157">
        <v>178173.48</v>
      </c>
    </row>
    <row r="120" spans="1:12" s="156" customFormat="1">
      <c r="A120" s="154"/>
      <c r="B120" s="681" t="s">
        <v>215</v>
      </c>
      <c r="C120" s="682"/>
      <c r="D120" s="158"/>
      <c r="E120" s="158"/>
      <c r="F120" s="158"/>
      <c r="G120" s="158">
        <f>SUM(G107:G119)</f>
        <v>3505079.9980397602</v>
      </c>
      <c r="H120" s="158">
        <f>SUM(H107:H119)</f>
        <v>3547048.0000000005</v>
      </c>
      <c r="I120" s="158">
        <f>SUM(I107:I119)</f>
        <v>3769374.9999999995</v>
      </c>
      <c r="J120" s="159"/>
      <c r="K120" s="159"/>
      <c r="L120" s="156">
        <v>3505080</v>
      </c>
    </row>
    <row r="121" spans="1:12">
      <c r="L121" s="307">
        <f>L120-G120</f>
        <v>1.9602398388087749E-3</v>
      </c>
    </row>
    <row r="122" spans="1:12" s="66" customFormat="1" ht="14.25" hidden="1">
      <c r="A122" s="66" t="s">
        <v>254</v>
      </c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</row>
    <row r="123" spans="1:12" hidden="1"/>
    <row r="124" spans="1:12" ht="48.75" hidden="1">
      <c r="A124" s="119" t="s">
        <v>217</v>
      </c>
      <c r="B124" s="670" t="s">
        <v>0</v>
      </c>
      <c r="C124" s="671"/>
      <c r="D124" s="113" t="s">
        <v>255</v>
      </c>
      <c r="E124" s="113" t="s">
        <v>256</v>
      </c>
      <c r="F124" s="113" t="s">
        <v>257</v>
      </c>
      <c r="G124" s="113" t="s">
        <v>257</v>
      </c>
      <c r="H124" s="113"/>
    </row>
    <row r="125" spans="1:12" hidden="1">
      <c r="A125" s="115">
        <v>1</v>
      </c>
      <c r="B125" s="672">
        <v>2</v>
      </c>
      <c r="C125" s="673"/>
      <c r="D125" s="115">
        <v>3</v>
      </c>
      <c r="E125" s="115">
        <v>4</v>
      </c>
      <c r="F125" s="115">
        <v>5</v>
      </c>
      <c r="G125" s="115">
        <v>6</v>
      </c>
      <c r="H125" s="115"/>
    </row>
    <row r="126" spans="1:12" hidden="1">
      <c r="A126" s="117"/>
      <c r="B126" s="672"/>
      <c r="C126" s="673"/>
      <c r="D126" s="118"/>
      <c r="E126" s="118"/>
      <c r="F126" s="118"/>
      <c r="G126" s="118"/>
      <c r="H126" s="118"/>
    </row>
    <row r="127" spans="1:12" hidden="1">
      <c r="A127" s="117"/>
      <c r="B127" s="672"/>
      <c r="C127" s="673"/>
      <c r="D127" s="118"/>
      <c r="E127" s="118"/>
      <c r="F127" s="118"/>
      <c r="G127" s="118"/>
      <c r="H127" s="118"/>
    </row>
    <row r="128" spans="1:12" hidden="1">
      <c r="A128" s="117"/>
      <c r="B128" s="672"/>
      <c r="C128" s="673"/>
      <c r="D128" s="118"/>
      <c r="E128" s="118"/>
      <c r="F128" s="118"/>
      <c r="G128" s="118"/>
      <c r="H128" s="118"/>
    </row>
    <row r="129" spans="1:11" hidden="1">
      <c r="A129" s="117"/>
      <c r="B129" s="672"/>
      <c r="C129" s="673"/>
      <c r="D129" s="118"/>
      <c r="E129" s="118"/>
      <c r="F129" s="118"/>
      <c r="G129" s="118"/>
      <c r="H129" s="118"/>
    </row>
    <row r="130" spans="1:11" hidden="1">
      <c r="A130" s="117"/>
      <c r="B130" s="672"/>
      <c r="C130" s="673"/>
      <c r="D130" s="118"/>
      <c r="E130" s="118"/>
      <c r="F130" s="118"/>
      <c r="G130" s="118"/>
      <c r="H130" s="118"/>
    </row>
    <row r="131" spans="1:11" hidden="1">
      <c r="A131" s="117"/>
      <c r="B131" s="672"/>
      <c r="C131" s="673"/>
      <c r="D131" s="118"/>
      <c r="E131" s="118"/>
      <c r="F131" s="118"/>
      <c r="G131" s="118"/>
      <c r="H131" s="118"/>
    </row>
    <row r="132" spans="1:11" s="156" customFormat="1" hidden="1">
      <c r="A132" s="154"/>
      <c r="B132" s="681" t="s">
        <v>215</v>
      </c>
      <c r="C132" s="682"/>
      <c r="D132" s="155"/>
      <c r="E132" s="155"/>
      <c r="F132" s="155">
        <f>SUM(F126:F131)</f>
        <v>0</v>
      </c>
      <c r="G132" s="155">
        <f t="shared" ref="G132" si="10">SUM(G126:G131)</f>
        <v>0</v>
      </c>
      <c r="H132" s="155"/>
      <c r="I132" s="159"/>
      <c r="J132" s="159"/>
      <c r="K132" s="159"/>
    </row>
    <row r="133" spans="1:11" hidden="1">
      <c r="H133" s="308"/>
      <c r="I133" s="308"/>
    </row>
    <row r="134" spans="1:11" s="66" customFormat="1" ht="14.25">
      <c r="A134" s="66" t="s">
        <v>258</v>
      </c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</row>
    <row r="136" spans="1:11" ht="24.75">
      <c r="A136" s="119" t="s">
        <v>217</v>
      </c>
      <c r="B136" s="670" t="s">
        <v>0</v>
      </c>
      <c r="C136" s="671"/>
      <c r="D136" s="113" t="s">
        <v>259</v>
      </c>
      <c r="E136" s="113" t="s">
        <v>260</v>
      </c>
      <c r="F136" s="113" t="s">
        <v>299</v>
      </c>
      <c r="G136" s="113" t="s">
        <v>300</v>
      </c>
      <c r="H136" s="113" t="s">
        <v>301</v>
      </c>
    </row>
    <row r="137" spans="1:11">
      <c r="A137" s="115">
        <v>1</v>
      </c>
      <c r="B137" s="672">
        <v>2</v>
      </c>
      <c r="C137" s="673"/>
      <c r="D137" s="115">
        <v>3</v>
      </c>
      <c r="E137" s="115">
        <v>4</v>
      </c>
      <c r="F137" s="115">
        <v>5</v>
      </c>
      <c r="G137" s="115">
        <v>6</v>
      </c>
      <c r="H137" s="115">
        <v>7</v>
      </c>
    </row>
    <row r="138" spans="1:11">
      <c r="A138" s="115">
        <v>1</v>
      </c>
      <c r="B138" s="309" t="s">
        <v>436</v>
      </c>
      <c r="C138" s="310"/>
      <c r="D138" s="118">
        <v>1</v>
      </c>
      <c r="E138" s="157">
        <v>6268.8</v>
      </c>
      <c r="F138" s="157">
        <f>E138*D138</f>
        <v>6268.8</v>
      </c>
      <c r="G138" s="157">
        <v>6268.8</v>
      </c>
      <c r="H138" s="157">
        <v>6268.8</v>
      </c>
    </row>
    <row r="139" spans="1:11">
      <c r="A139" s="115"/>
      <c r="B139" s="684" t="s">
        <v>437</v>
      </c>
      <c r="C139" s="685"/>
      <c r="D139" s="118"/>
      <c r="E139" s="157"/>
      <c r="F139" s="157"/>
      <c r="G139" s="157"/>
      <c r="H139" s="157"/>
    </row>
    <row r="140" spans="1:11">
      <c r="A140" s="115">
        <v>2</v>
      </c>
      <c r="B140" s="309" t="s">
        <v>438</v>
      </c>
      <c r="C140" s="311"/>
      <c r="D140" s="118">
        <v>1</v>
      </c>
      <c r="E140" s="157">
        <v>8671.2000000000007</v>
      </c>
      <c r="F140" s="157">
        <f t="shared" ref="F140" si="11">E140*D140</f>
        <v>8671.2000000000007</v>
      </c>
      <c r="G140" s="157">
        <v>8671.2000000000007</v>
      </c>
      <c r="H140" s="157">
        <v>8671.2000000000007</v>
      </c>
    </row>
    <row r="141" spans="1:11">
      <c r="A141" s="115"/>
      <c r="B141" s="296" t="s">
        <v>439</v>
      </c>
      <c r="C141" s="295"/>
      <c r="D141" s="118"/>
      <c r="E141" s="157"/>
      <c r="F141" s="157"/>
      <c r="G141" s="157"/>
      <c r="H141" s="157"/>
    </row>
    <row r="142" spans="1:11">
      <c r="A142" s="115">
        <v>3</v>
      </c>
      <c r="B142" s="309" t="s">
        <v>440</v>
      </c>
      <c r="C142" s="311"/>
      <c r="D142" s="118">
        <v>1</v>
      </c>
      <c r="E142" s="157">
        <v>37920</v>
      </c>
      <c r="F142" s="157">
        <f t="shared" ref="F142" si="12">E142*D142</f>
        <v>37920</v>
      </c>
      <c r="G142" s="157">
        <v>37920</v>
      </c>
      <c r="H142" s="157">
        <v>37920</v>
      </c>
    </row>
    <row r="143" spans="1:11">
      <c r="A143" s="115"/>
      <c r="B143" s="296" t="s">
        <v>441</v>
      </c>
      <c r="C143" s="295"/>
      <c r="D143" s="118"/>
      <c r="E143" s="157"/>
      <c r="F143" s="157"/>
      <c r="G143" s="157"/>
      <c r="H143" s="157"/>
    </row>
    <row r="144" spans="1:11">
      <c r="A144" s="115">
        <v>4</v>
      </c>
      <c r="B144" s="309" t="s">
        <v>442</v>
      </c>
      <c r="C144" s="311"/>
      <c r="D144" s="118">
        <v>1</v>
      </c>
      <c r="E144" s="157">
        <v>33000</v>
      </c>
      <c r="F144" s="157">
        <f t="shared" ref="F144:F170" si="13">E144*D144</f>
        <v>33000</v>
      </c>
      <c r="G144" s="157">
        <v>33000</v>
      </c>
      <c r="H144" s="157">
        <v>33000</v>
      </c>
    </row>
    <row r="145" spans="1:8">
      <c r="A145" s="115"/>
      <c r="B145" s="296" t="s">
        <v>443</v>
      </c>
      <c r="C145" s="295"/>
      <c r="D145" s="118"/>
      <c r="E145" s="157"/>
      <c r="F145" s="157"/>
      <c r="G145" s="157"/>
      <c r="H145" s="157"/>
    </row>
    <row r="146" spans="1:8" ht="29.25" customHeight="1">
      <c r="A146" s="312">
        <v>5</v>
      </c>
      <c r="B146" s="690" t="s">
        <v>444</v>
      </c>
      <c r="C146" s="691"/>
      <c r="D146" s="118">
        <v>1</v>
      </c>
      <c r="E146" s="157">
        <v>26400</v>
      </c>
      <c r="F146" s="157">
        <f t="shared" si="13"/>
        <v>26400</v>
      </c>
      <c r="G146" s="157">
        <v>26400</v>
      </c>
      <c r="H146" s="157">
        <v>26400</v>
      </c>
    </row>
    <row r="147" spans="1:8" ht="26.25" customHeight="1">
      <c r="A147" s="312"/>
      <c r="B147" s="296" t="s">
        <v>445</v>
      </c>
      <c r="C147" s="295"/>
      <c r="D147" s="118"/>
      <c r="E147" s="157"/>
      <c r="F147" s="157"/>
      <c r="G147" s="157"/>
      <c r="H147" s="157"/>
    </row>
    <row r="148" spans="1:8">
      <c r="A148" s="312">
        <v>6</v>
      </c>
      <c r="B148" s="309" t="s">
        <v>446</v>
      </c>
      <c r="C148" s="297"/>
      <c r="D148" s="118">
        <v>2</v>
      </c>
      <c r="E148" s="157">
        <v>19263.12</v>
      </c>
      <c r="F148" s="157">
        <f t="shared" si="13"/>
        <v>38526.239999999998</v>
      </c>
      <c r="G148" s="157">
        <v>38526.239999999998</v>
      </c>
      <c r="H148" s="157">
        <v>38526.239999999998</v>
      </c>
    </row>
    <row r="149" spans="1:8">
      <c r="A149" s="312"/>
      <c r="B149" s="296" t="s">
        <v>447</v>
      </c>
      <c r="C149" s="295"/>
      <c r="D149" s="118"/>
      <c r="E149" s="157"/>
      <c r="F149" s="157"/>
      <c r="G149" s="157"/>
      <c r="H149" s="157"/>
    </row>
    <row r="150" spans="1:8">
      <c r="A150" s="312">
        <v>7</v>
      </c>
      <c r="B150" s="309" t="s">
        <v>448</v>
      </c>
      <c r="C150" s="295"/>
      <c r="D150" s="118">
        <v>1</v>
      </c>
      <c r="E150" s="157">
        <v>23296</v>
      </c>
      <c r="F150" s="157">
        <f t="shared" si="13"/>
        <v>23296</v>
      </c>
      <c r="G150" s="157">
        <v>23296</v>
      </c>
      <c r="H150" s="157">
        <v>23296</v>
      </c>
    </row>
    <row r="151" spans="1:8">
      <c r="A151" s="312"/>
      <c r="B151" s="296" t="s">
        <v>449</v>
      </c>
      <c r="C151" s="295"/>
      <c r="D151" s="118"/>
      <c r="E151" s="157"/>
      <c r="F151" s="157"/>
      <c r="G151" s="157"/>
      <c r="H151" s="157"/>
    </row>
    <row r="152" spans="1:8">
      <c r="A152" s="115">
        <v>8</v>
      </c>
      <c r="B152" s="309" t="s">
        <v>450</v>
      </c>
      <c r="C152" s="311"/>
      <c r="D152" s="118">
        <v>1</v>
      </c>
      <c r="E152" s="157">
        <v>7000</v>
      </c>
      <c r="F152" s="157">
        <f t="shared" si="13"/>
        <v>7000</v>
      </c>
      <c r="G152" s="157">
        <v>7000</v>
      </c>
      <c r="H152" s="157">
        <v>7000</v>
      </c>
    </row>
    <row r="153" spans="1:8">
      <c r="A153" s="115"/>
      <c r="B153" s="684" t="s">
        <v>451</v>
      </c>
      <c r="C153" s="685"/>
      <c r="D153" s="118"/>
      <c r="E153" s="157"/>
      <c r="F153" s="157"/>
      <c r="G153" s="157"/>
      <c r="H153" s="157"/>
    </row>
    <row r="154" spans="1:8">
      <c r="A154" s="115">
        <v>9</v>
      </c>
      <c r="B154" s="309" t="s">
        <v>452</v>
      </c>
      <c r="C154" s="311"/>
      <c r="D154" s="118">
        <v>1</v>
      </c>
      <c r="E154" s="157">
        <v>6000</v>
      </c>
      <c r="F154" s="157">
        <f t="shared" si="13"/>
        <v>6000</v>
      </c>
      <c r="G154" s="157">
        <v>6000</v>
      </c>
      <c r="H154" s="157">
        <v>6000</v>
      </c>
    </row>
    <row r="155" spans="1:8">
      <c r="A155" s="115"/>
      <c r="B155" s="296" t="s">
        <v>453</v>
      </c>
      <c r="C155" s="295"/>
      <c r="D155" s="118"/>
      <c r="E155" s="157"/>
      <c r="F155" s="157"/>
      <c r="G155" s="157"/>
      <c r="H155" s="157"/>
    </row>
    <row r="156" spans="1:8">
      <c r="A156" s="115">
        <v>10</v>
      </c>
      <c r="B156" s="309" t="s">
        <v>454</v>
      </c>
      <c r="C156" s="311"/>
      <c r="D156" s="118">
        <v>1</v>
      </c>
      <c r="E156" s="157">
        <v>20000</v>
      </c>
      <c r="F156" s="157">
        <v>20000</v>
      </c>
      <c r="G156" s="157">
        <v>20000</v>
      </c>
      <c r="H156" s="157">
        <v>20000</v>
      </c>
    </row>
    <row r="157" spans="1:8">
      <c r="A157" s="115"/>
      <c r="B157" s="296" t="s">
        <v>455</v>
      </c>
      <c r="C157" s="295"/>
      <c r="D157" s="118"/>
      <c r="E157" s="157"/>
      <c r="F157" s="157"/>
      <c r="G157" s="157"/>
      <c r="H157" s="157"/>
    </row>
    <row r="158" spans="1:8">
      <c r="A158" s="115">
        <v>11</v>
      </c>
      <c r="B158" s="309" t="s">
        <v>456</v>
      </c>
      <c r="C158" s="295"/>
      <c r="D158" s="118">
        <v>1</v>
      </c>
      <c r="E158" s="157">
        <v>9780</v>
      </c>
      <c r="F158" s="157">
        <v>9780</v>
      </c>
      <c r="G158" s="157">
        <v>9780</v>
      </c>
      <c r="H158" s="157">
        <v>9780</v>
      </c>
    </row>
    <row r="159" spans="1:8">
      <c r="A159" s="115"/>
      <c r="B159" s="296" t="s">
        <v>457</v>
      </c>
      <c r="C159" s="295"/>
      <c r="D159" s="118"/>
      <c r="E159" s="157"/>
      <c r="F159" s="157"/>
      <c r="G159" s="157"/>
      <c r="H159" s="157"/>
    </row>
    <row r="160" spans="1:8" ht="26.25" customHeight="1">
      <c r="A160" s="115">
        <v>12</v>
      </c>
      <c r="B160" s="690" t="s">
        <v>458</v>
      </c>
      <c r="C160" s="691"/>
      <c r="D160" s="118">
        <v>1</v>
      </c>
      <c r="E160" s="157">
        <v>9000</v>
      </c>
      <c r="F160" s="157">
        <v>9000</v>
      </c>
      <c r="G160" s="157">
        <v>9000</v>
      </c>
      <c r="H160" s="157">
        <v>9000</v>
      </c>
    </row>
    <row r="161" spans="1:11" ht="25.5" customHeight="1">
      <c r="A161" s="115"/>
      <c r="B161" s="296" t="s">
        <v>459</v>
      </c>
      <c r="C161" s="313"/>
      <c r="D161" s="118"/>
      <c r="E161" s="157"/>
      <c r="F161" s="157"/>
      <c r="G161" s="157"/>
      <c r="H161" s="157"/>
    </row>
    <row r="162" spans="1:11" ht="19.5" customHeight="1">
      <c r="A162" s="115">
        <v>13</v>
      </c>
      <c r="B162" s="690" t="s">
        <v>460</v>
      </c>
      <c r="C162" s="691"/>
      <c r="D162" s="118">
        <v>1</v>
      </c>
      <c r="E162" s="157">
        <v>3000</v>
      </c>
      <c r="F162" s="157">
        <v>3000</v>
      </c>
      <c r="G162" s="157">
        <v>3000</v>
      </c>
      <c r="H162" s="157">
        <v>3000</v>
      </c>
    </row>
    <row r="163" spans="1:11" ht="27" customHeight="1">
      <c r="A163" s="115"/>
      <c r="B163" s="296" t="s">
        <v>461</v>
      </c>
      <c r="C163" s="295"/>
      <c r="D163" s="118"/>
      <c r="E163" s="157"/>
      <c r="F163" s="157"/>
      <c r="G163" s="157"/>
      <c r="H163" s="157"/>
    </row>
    <row r="164" spans="1:11" ht="28.5" customHeight="1">
      <c r="A164" s="115">
        <v>14</v>
      </c>
      <c r="B164" s="690" t="s">
        <v>462</v>
      </c>
      <c r="C164" s="691"/>
      <c r="D164" s="118">
        <v>1</v>
      </c>
      <c r="E164" s="157">
        <v>8000</v>
      </c>
      <c r="F164" s="157">
        <v>8000</v>
      </c>
      <c r="G164" s="157">
        <v>8000</v>
      </c>
      <c r="H164" s="157">
        <v>8000</v>
      </c>
    </row>
    <row r="165" spans="1:11" ht="24.75" customHeight="1">
      <c r="A165" s="115"/>
      <c r="B165" s="296" t="s">
        <v>463</v>
      </c>
      <c r="C165" s="295"/>
      <c r="D165" s="118"/>
      <c r="E165" s="157"/>
      <c r="F165" s="157"/>
      <c r="G165" s="157"/>
      <c r="H165" s="157"/>
    </row>
    <row r="166" spans="1:11" ht="28.5" customHeight="1">
      <c r="A166" s="115">
        <v>15</v>
      </c>
      <c r="B166" s="690" t="s">
        <v>464</v>
      </c>
      <c r="C166" s="691"/>
      <c r="D166" s="118">
        <v>1</v>
      </c>
      <c r="E166" s="157">
        <v>1200</v>
      </c>
      <c r="F166" s="157">
        <v>1200</v>
      </c>
      <c r="G166" s="157">
        <v>1200</v>
      </c>
      <c r="H166" s="157">
        <v>1200</v>
      </c>
    </row>
    <row r="167" spans="1:11" ht="23.25" customHeight="1">
      <c r="A167" s="115"/>
      <c r="B167" s="296" t="s">
        <v>465</v>
      </c>
      <c r="C167" s="295"/>
      <c r="D167" s="118"/>
      <c r="E167" s="157"/>
      <c r="F167" s="157"/>
      <c r="G167" s="157"/>
      <c r="H167" s="157"/>
    </row>
    <row r="168" spans="1:11">
      <c r="A168" s="115">
        <v>16</v>
      </c>
      <c r="B168" s="314" t="s">
        <v>466</v>
      </c>
      <c r="C168" s="315"/>
      <c r="D168" s="118">
        <v>1</v>
      </c>
      <c r="E168" s="157">
        <v>1200</v>
      </c>
      <c r="F168" s="157">
        <v>1200</v>
      </c>
      <c r="G168" s="157">
        <v>1200</v>
      </c>
      <c r="H168" s="157">
        <v>1200</v>
      </c>
    </row>
    <row r="169" spans="1:11" ht="21" customHeight="1">
      <c r="A169" s="115"/>
      <c r="B169" s="296" t="s">
        <v>465</v>
      </c>
      <c r="C169" s="295"/>
      <c r="D169" s="118"/>
      <c r="E169" s="157"/>
      <c r="F169" s="157"/>
      <c r="G169" s="157"/>
      <c r="H169" s="157"/>
    </row>
    <row r="170" spans="1:11" ht="18.75" customHeight="1">
      <c r="A170" s="115">
        <v>17</v>
      </c>
      <c r="B170" s="692" t="s">
        <v>467</v>
      </c>
      <c r="C170" s="693"/>
      <c r="D170" s="118">
        <v>1</v>
      </c>
      <c r="E170" s="157">
        <v>32635</v>
      </c>
      <c r="F170" s="157">
        <f t="shared" si="13"/>
        <v>32635</v>
      </c>
      <c r="G170" s="157">
        <v>32635</v>
      </c>
      <c r="H170" s="157">
        <v>32635</v>
      </c>
    </row>
    <row r="171" spans="1:11" ht="21.75" customHeight="1">
      <c r="A171" s="115"/>
      <c r="B171" s="296" t="s">
        <v>468</v>
      </c>
      <c r="C171" s="295"/>
      <c r="D171" s="118"/>
      <c r="E171" s="157"/>
      <c r="F171" s="157"/>
      <c r="G171" s="157"/>
      <c r="H171" s="157"/>
    </row>
    <row r="172" spans="1:11">
      <c r="A172" s="115">
        <v>18</v>
      </c>
      <c r="B172" s="314" t="s">
        <v>469</v>
      </c>
      <c r="C172" s="315"/>
      <c r="D172" s="118">
        <v>1</v>
      </c>
      <c r="E172" s="157">
        <v>9000</v>
      </c>
      <c r="F172" s="157">
        <v>9000</v>
      </c>
      <c r="G172" s="157">
        <v>9000</v>
      </c>
      <c r="H172" s="157">
        <v>9000</v>
      </c>
    </row>
    <row r="173" spans="1:11" ht="18" customHeight="1">
      <c r="A173" s="115"/>
      <c r="B173" s="296" t="s">
        <v>459</v>
      </c>
      <c r="C173" s="295"/>
      <c r="D173" s="118"/>
      <c r="E173" s="157"/>
      <c r="F173" s="157"/>
      <c r="G173" s="157"/>
      <c r="H173" s="157"/>
    </row>
    <row r="174" spans="1:11" s="156" customFormat="1">
      <c r="A174" s="154"/>
      <c r="B174" s="681" t="s">
        <v>215</v>
      </c>
      <c r="C174" s="682"/>
      <c r="D174" s="155"/>
      <c r="E174" s="155"/>
      <c r="F174" s="158">
        <f>ROUND(SUM(F138:F173),0)</f>
        <v>280897</v>
      </c>
      <c r="G174" s="158">
        <f>ROUND(SUM(G138:G173),0)</f>
        <v>280897</v>
      </c>
      <c r="H174" s="158">
        <f>ROUND(SUM(H138:H173),0)</f>
        <v>280897</v>
      </c>
      <c r="I174" s="159"/>
      <c r="J174" s="159"/>
      <c r="K174" s="159"/>
    </row>
    <row r="176" spans="1:11" s="66" customFormat="1" ht="14.25">
      <c r="A176" s="66" t="s">
        <v>261</v>
      </c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</row>
    <row r="178" spans="1:8" ht="24.75">
      <c r="A178" s="119" t="s">
        <v>217</v>
      </c>
      <c r="B178" s="670" t="s">
        <v>236</v>
      </c>
      <c r="C178" s="671"/>
      <c r="D178" s="113" t="s">
        <v>259</v>
      </c>
      <c r="E178" s="113" t="s">
        <v>260</v>
      </c>
      <c r="F178" s="113" t="s">
        <v>299</v>
      </c>
      <c r="G178" s="113" t="s">
        <v>300</v>
      </c>
      <c r="H178" s="113" t="s">
        <v>301</v>
      </c>
    </row>
    <row r="179" spans="1:8">
      <c r="A179" s="115">
        <v>1</v>
      </c>
      <c r="B179" s="672">
        <v>2</v>
      </c>
      <c r="C179" s="673"/>
      <c r="D179" s="115">
        <v>3</v>
      </c>
      <c r="E179" s="115">
        <v>4</v>
      </c>
      <c r="F179" s="115">
        <v>5</v>
      </c>
      <c r="G179" s="115">
        <v>6</v>
      </c>
      <c r="H179" s="115">
        <v>7</v>
      </c>
    </row>
    <row r="180" spans="1:8">
      <c r="A180" s="117">
        <v>1</v>
      </c>
      <c r="B180" s="316" t="s">
        <v>470</v>
      </c>
      <c r="C180" s="317"/>
      <c r="D180" s="118">
        <v>1</v>
      </c>
      <c r="E180" s="157">
        <v>25579.200000000001</v>
      </c>
      <c r="F180" s="157">
        <f>E180*D180</f>
        <v>25579.200000000001</v>
      </c>
      <c r="G180" s="157">
        <v>25579.200000000001</v>
      </c>
      <c r="H180" s="157">
        <v>25579.200000000001</v>
      </c>
    </row>
    <row r="181" spans="1:8">
      <c r="A181" s="117"/>
      <c r="B181" s="672" t="s">
        <v>471</v>
      </c>
      <c r="C181" s="673"/>
      <c r="D181" s="118"/>
      <c r="E181" s="157"/>
      <c r="F181" s="157">
        <f t="shared" ref="F181:F193" si="14">E181*D181</f>
        <v>0</v>
      </c>
      <c r="G181" s="157"/>
      <c r="H181" s="157"/>
    </row>
    <row r="182" spans="1:8">
      <c r="A182" s="117">
        <v>2</v>
      </c>
      <c r="B182" s="309" t="s">
        <v>472</v>
      </c>
      <c r="C182" s="295"/>
      <c r="D182" s="118"/>
      <c r="E182" s="157"/>
      <c r="F182" s="157">
        <f t="shared" si="14"/>
        <v>0</v>
      </c>
      <c r="G182" s="157"/>
      <c r="H182" s="157"/>
    </row>
    <row r="183" spans="1:8">
      <c r="A183" s="117"/>
      <c r="B183" s="296" t="s">
        <v>473</v>
      </c>
      <c r="C183" s="295"/>
      <c r="D183" s="118">
        <v>1</v>
      </c>
      <c r="E183" s="157">
        <v>222200</v>
      </c>
      <c r="F183" s="157">
        <f t="shared" si="14"/>
        <v>222200</v>
      </c>
      <c r="G183" s="157">
        <v>222200</v>
      </c>
      <c r="H183" s="157">
        <v>222200</v>
      </c>
    </row>
    <row r="184" spans="1:8">
      <c r="A184" s="117"/>
      <c r="B184" s="296" t="s">
        <v>474</v>
      </c>
      <c r="C184" s="295"/>
      <c r="D184" s="118"/>
      <c r="E184" s="157"/>
      <c r="F184" s="157">
        <f t="shared" si="14"/>
        <v>0</v>
      </c>
      <c r="G184" s="157"/>
      <c r="H184" s="157"/>
    </row>
    <row r="185" spans="1:8">
      <c r="A185" s="117"/>
      <c r="B185" s="296" t="s">
        <v>475</v>
      </c>
      <c r="C185" s="295"/>
      <c r="D185" s="118"/>
      <c r="E185" s="157"/>
      <c r="F185" s="157">
        <f t="shared" si="14"/>
        <v>0</v>
      </c>
      <c r="G185" s="157"/>
      <c r="H185" s="157"/>
    </row>
    <row r="186" spans="1:8">
      <c r="A186" s="117"/>
      <c r="B186" s="296" t="s">
        <v>476</v>
      </c>
      <c r="C186" s="295"/>
      <c r="D186" s="118"/>
      <c r="E186" s="157"/>
      <c r="F186" s="157">
        <f t="shared" si="14"/>
        <v>0</v>
      </c>
      <c r="G186" s="157"/>
      <c r="H186" s="157"/>
    </row>
    <row r="187" spans="1:8" ht="18.75" customHeight="1">
      <c r="A187" s="117">
        <v>3</v>
      </c>
      <c r="B187" s="692" t="s">
        <v>477</v>
      </c>
      <c r="C187" s="693"/>
      <c r="D187" s="118">
        <v>1</v>
      </c>
      <c r="E187" s="157">
        <v>11272</v>
      </c>
      <c r="F187" s="157">
        <f>E187*D187</f>
        <v>11272</v>
      </c>
      <c r="G187" s="157">
        <v>23272</v>
      </c>
      <c r="H187" s="157">
        <v>23272</v>
      </c>
    </row>
    <row r="188" spans="1:8" ht="15" customHeight="1">
      <c r="A188" s="117"/>
      <c r="B188" s="296" t="s">
        <v>478</v>
      </c>
      <c r="C188" s="295"/>
      <c r="D188" s="117"/>
      <c r="E188" s="117"/>
      <c r="F188" s="117"/>
      <c r="G188" s="117"/>
      <c r="H188" s="117"/>
    </row>
    <row r="189" spans="1:8">
      <c r="A189" s="117">
        <v>4</v>
      </c>
      <c r="B189" s="318" t="s">
        <v>479</v>
      </c>
      <c r="C189" s="319"/>
      <c r="D189" s="118">
        <v>1</v>
      </c>
      <c r="E189" s="157">
        <v>4450</v>
      </c>
      <c r="F189" s="157">
        <f t="shared" si="14"/>
        <v>4450</v>
      </c>
      <c r="G189" s="157">
        <v>4450</v>
      </c>
      <c r="H189" s="157">
        <v>4450</v>
      </c>
    </row>
    <row r="190" spans="1:8" ht="15" customHeight="1">
      <c r="A190" s="117"/>
      <c r="B190" s="686" t="s">
        <v>480</v>
      </c>
      <c r="C190" s="687"/>
      <c r="D190" s="118"/>
      <c r="E190" s="157"/>
      <c r="F190" s="157">
        <f t="shared" si="14"/>
        <v>0</v>
      </c>
      <c r="G190" s="157"/>
      <c r="H190" s="157"/>
    </row>
    <row r="191" spans="1:8">
      <c r="A191" s="117">
        <v>5</v>
      </c>
      <c r="B191" s="318" t="s">
        <v>481</v>
      </c>
      <c r="C191" s="319"/>
      <c r="D191" s="118">
        <v>1</v>
      </c>
      <c r="E191" s="157">
        <v>2400</v>
      </c>
      <c r="F191" s="157">
        <f t="shared" si="14"/>
        <v>2400</v>
      </c>
      <c r="G191" s="157">
        <v>2400</v>
      </c>
      <c r="H191" s="157">
        <v>2400</v>
      </c>
    </row>
    <row r="192" spans="1:8" ht="32.25" customHeight="1">
      <c r="A192" s="117"/>
      <c r="B192" s="686" t="s">
        <v>482</v>
      </c>
      <c r="C192" s="687"/>
      <c r="D192" s="118"/>
      <c r="E192" s="157"/>
      <c r="F192" s="157">
        <f t="shared" si="14"/>
        <v>0</v>
      </c>
      <c r="G192" s="157"/>
      <c r="H192" s="157"/>
    </row>
    <row r="193" spans="1:11">
      <c r="A193" s="117">
        <v>6</v>
      </c>
      <c r="B193" s="318" t="s">
        <v>483</v>
      </c>
      <c r="C193" s="319"/>
      <c r="D193" s="118">
        <v>1</v>
      </c>
      <c r="E193" s="157">
        <v>2500</v>
      </c>
      <c r="F193" s="157">
        <f t="shared" si="14"/>
        <v>2500</v>
      </c>
      <c r="G193" s="157">
        <v>2500</v>
      </c>
      <c r="H193" s="157">
        <v>2500</v>
      </c>
    </row>
    <row r="194" spans="1:11" ht="16.5" customHeight="1">
      <c r="A194" s="117"/>
      <c r="B194" s="686" t="s">
        <v>484</v>
      </c>
      <c r="C194" s="687"/>
      <c r="D194" s="118"/>
      <c r="E194" s="157"/>
      <c r="F194" s="157"/>
      <c r="G194" s="157"/>
      <c r="H194" s="157"/>
    </row>
    <row r="195" spans="1:11">
      <c r="A195" s="117">
        <v>7</v>
      </c>
      <c r="B195" s="309" t="s">
        <v>485</v>
      </c>
      <c r="C195" s="311"/>
      <c r="D195" s="118">
        <v>1</v>
      </c>
      <c r="E195" s="157">
        <v>583200</v>
      </c>
      <c r="F195" s="157">
        <v>583200</v>
      </c>
      <c r="G195" s="157">
        <v>583200</v>
      </c>
      <c r="H195" s="157">
        <v>583200</v>
      </c>
    </row>
    <row r="196" spans="1:11">
      <c r="A196" s="117"/>
      <c r="B196" s="686" t="s">
        <v>486</v>
      </c>
      <c r="C196" s="687"/>
      <c r="D196" s="118"/>
      <c r="E196" s="157"/>
      <c r="F196" s="157"/>
      <c r="G196" s="157"/>
      <c r="H196" s="157"/>
    </row>
    <row r="197" spans="1:11" s="156" customFormat="1">
      <c r="A197" s="154"/>
      <c r="B197" s="681" t="s">
        <v>215</v>
      </c>
      <c r="C197" s="682"/>
      <c r="D197" s="155"/>
      <c r="E197" s="157"/>
      <c r="F197" s="157">
        <f>ROUND(SUM(F180:F196),0)</f>
        <v>851601</v>
      </c>
      <c r="G197" s="157">
        <f>ROUND(SUM(G180:G196),0)</f>
        <v>863601</v>
      </c>
      <c r="H197" s="157">
        <f>ROUND(SUM(H180:H196),0)</f>
        <v>863601</v>
      </c>
      <c r="I197" s="159"/>
      <c r="J197" s="159"/>
      <c r="K197" s="159"/>
    </row>
    <row r="199" spans="1:11" s="66" customFormat="1" ht="14.25">
      <c r="A199" s="66" t="s">
        <v>262</v>
      </c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</row>
    <row r="201" spans="1:11" ht="24.75">
      <c r="A201" s="119" t="s">
        <v>217</v>
      </c>
      <c r="B201" s="670" t="s">
        <v>236</v>
      </c>
      <c r="C201" s="671"/>
      <c r="D201" s="113" t="s">
        <v>255</v>
      </c>
      <c r="E201" s="113" t="s">
        <v>260</v>
      </c>
      <c r="F201" s="113" t="s">
        <v>299</v>
      </c>
      <c r="G201" s="113" t="s">
        <v>300</v>
      </c>
      <c r="H201" s="113" t="s">
        <v>301</v>
      </c>
    </row>
    <row r="202" spans="1:11">
      <c r="A202" s="115">
        <v>1</v>
      </c>
      <c r="B202" s="672">
        <v>2</v>
      </c>
      <c r="C202" s="673"/>
      <c r="D202" s="115">
        <v>3</v>
      </c>
      <c r="E202" s="115">
        <v>4</v>
      </c>
      <c r="F202" s="115">
        <v>5</v>
      </c>
      <c r="G202" s="115">
        <v>6</v>
      </c>
      <c r="H202" s="115">
        <v>7</v>
      </c>
    </row>
    <row r="203" spans="1:11">
      <c r="A203" s="117">
        <v>1</v>
      </c>
      <c r="B203" s="699" t="s">
        <v>487</v>
      </c>
      <c r="C203" s="700"/>
      <c r="D203" s="118">
        <v>1</v>
      </c>
      <c r="E203" s="157">
        <v>90000</v>
      </c>
      <c r="F203" s="157">
        <f>D203*E203</f>
        <v>90000</v>
      </c>
      <c r="G203" s="157">
        <v>90000</v>
      </c>
      <c r="H203" s="157">
        <v>90000</v>
      </c>
    </row>
    <row r="204" spans="1:11">
      <c r="A204" s="121"/>
      <c r="B204" s="699"/>
      <c r="C204" s="700"/>
      <c r="D204" s="118"/>
      <c r="E204" s="118"/>
      <c r="F204" s="118"/>
      <c r="G204" s="118"/>
      <c r="H204" s="118"/>
    </row>
    <row r="205" spans="1:11" s="156" customFormat="1">
      <c r="A205" s="154"/>
      <c r="B205" s="681" t="s">
        <v>215</v>
      </c>
      <c r="C205" s="682"/>
      <c r="D205" s="155"/>
      <c r="E205" s="155"/>
      <c r="F205" s="320">
        <f>SUM(F203:F204)</f>
        <v>90000</v>
      </c>
      <c r="G205" s="320">
        <f>SUM(G203:G204)</f>
        <v>90000</v>
      </c>
      <c r="H205" s="320">
        <f>SUM(H203:H204)</f>
        <v>90000</v>
      </c>
      <c r="I205" s="159"/>
      <c r="J205" s="159"/>
      <c r="K205" s="159"/>
    </row>
    <row r="206" spans="1:11" ht="15.75" thickBot="1"/>
    <row r="207" spans="1:11" ht="15.75" thickBot="1">
      <c r="A207" s="122"/>
      <c r="B207" s="694" t="s">
        <v>263</v>
      </c>
      <c r="C207" s="695"/>
      <c r="D207" s="695"/>
      <c r="E207" s="696"/>
      <c r="F207" s="161">
        <f>F205+F197+F174+F132+G120+F101+G89+F79+F67+F59+F38+I26+F51</f>
        <v>10726901.99803976</v>
      </c>
      <c r="G207" s="161">
        <f>G205+G197+G174+G132+H120+G101+H89+G79+G67+G59+G38+J26</f>
        <v>9619631</v>
      </c>
      <c r="H207" s="161">
        <f>H205+H197+H174+H132+I120+H101+I89+H79+H67+H59+H38+K26</f>
        <v>10058155</v>
      </c>
    </row>
    <row r="209" spans="1:21" s="300" customFormat="1" ht="20.25" customHeight="1">
      <c r="A209" s="697" t="s">
        <v>179</v>
      </c>
      <c r="B209" s="697"/>
      <c r="C209" s="697"/>
      <c r="D209" s="285" t="str">
        <f>[1]закупки!AQ30</f>
        <v>Заведующий</v>
      </c>
      <c r="E209" s="123"/>
      <c r="F209" s="285"/>
      <c r="G209" s="123"/>
      <c r="H209" s="285" t="str">
        <f>[1]закупки!BY30</f>
        <v>Ускова Н.П.</v>
      </c>
      <c r="I209" s="285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4"/>
    </row>
    <row r="210" spans="1:21" s="300" customFormat="1" ht="20.25" customHeight="1">
      <c r="A210" s="697" t="s">
        <v>180</v>
      </c>
      <c r="B210" s="697"/>
      <c r="C210" s="697"/>
      <c r="D210" s="125" t="s">
        <v>264</v>
      </c>
      <c r="E210" s="126"/>
      <c r="F210" s="125" t="s">
        <v>265</v>
      </c>
      <c r="G210" s="126"/>
      <c r="H210" s="299" t="s">
        <v>266</v>
      </c>
      <c r="I210" s="299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4"/>
    </row>
    <row r="211" spans="1:21" s="300" customFormat="1">
      <c r="A211" s="298"/>
    </row>
    <row r="212" spans="1:21" s="300" customFormat="1" ht="30" customHeight="1">
      <c r="A212" s="698" t="s">
        <v>182</v>
      </c>
      <c r="B212" s="698"/>
      <c r="C212"/>
      <c r="D212" s="328" t="s">
        <v>515</v>
      </c>
      <c r="E212"/>
      <c r="F212" s="328"/>
      <c r="G212"/>
      <c r="H212" s="328" t="s">
        <v>519</v>
      </c>
      <c r="I212" s="328"/>
      <c r="J212" s="658" t="s">
        <v>488</v>
      </c>
      <c r="K212" s="658"/>
    </row>
    <row r="213" spans="1:21" s="300" customFormat="1">
      <c r="C213"/>
      <c r="D213" s="125" t="s">
        <v>267</v>
      </c>
      <c r="E213"/>
      <c r="F213" s="125" t="s">
        <v>265</v>
      </c>
      <c r="G213"/>
      <c r="H213" s="337" t="s">
        <v>266</v>
      </c>
      <c r="I213" s="337"/>
      <c r="J213" s="646" t="s">
        <v>183</v>
      </c>
      <c r="K213" s="646"/>
    </row>
    <row r="214" spans="1:21" s="300" customFormat="1">
      <c r="G214"/>
      <c r="H214"/>
      <c r="I214"/>
      <c r="J214"/>
    </row>
    <row r="215" spans="1:21" s="300" customFormat="1">
      <c r="A215" s="698" t="s">
        <v>489</v>
      </c>
      <c r="B215" s="698"/>
      <c r="C215" s="698"/>
      <c r="D215" s="698"/>
      <c r="E215" s="698"/>
    </row>
  </sheetData>
  <mergeCells count="109">
    <mergeCell ref="J212:K212"/>
    <mergeCell ref="J213:K213"/>
    <mergeCell ref="B207:E207"/>
    <mergeCell ref="A209:C209"/>
    <mergeCell ref="A210:C210"/>
    <mergeCell ref="A212:B212"/>
    <mergeCell ref="A215:E215"/>
    <mergeCell ref="B187:C187"/>
    <mergeCell ref="B204:C204"/>
    <mergeCell ref="B205:C205"/>
    <mergeCell ref="B202:C202"/>
    <mergeCell ref="B203:C203"/>
    <mergeCell ref="B162:C162"/>
    <mergeCell ref="B178:C178"/>
    <mergeCell ref="B179:C179"/>
    <mergeCell ref="B190:C190"/>
    <mergeCell ref="B192:C192"/>
    <mergeCell ref="B194:C194"/>
    <mergeCell ref="B196:C196"/>
    <mergeCell ref="B197:C197"/>
    <mergeCell ref="B201:C201"/>
    <mergeCell ref="B164:C164"/>
    <mergeCell ref="B166:C166"/>
    <mergeCell ref="B170:C170"/>
    <mergeCell ref="B174:C174"/>
    <mergeCell ref="B181:C181"/>
    <mergeCell ref="B129:C129"/>
    <mergeCell ref="B130:C130"/>
    <mergeCell ref="B118:C118"/>
    <mergeCell ref="B124:C124"/>
    <mergeCell ref="B119:C119"/>
    <mergeCell ref="B120:C120"/>
    <mergeCell ref="B153:C153"/>
    <mergeCell ref="B160:C160"/>
    <mergeCell ref="B136:C136"/>
    <mergeCell ref="B137:C137"/>
    <mergeCell ref="B131:C131"/>
    <mergeCell ref="B132:C132"/>
    <mergeCell ref="B139:C139"/>
    <mergeCell ref="B146:C146"/>
    <mergeCell ref="B111:C111"/>
    <mergeCell ref="B115:C115"/>
    <mergeCell ref="B101:C101"/>
    <mergeCell ref="B105:C105"/>
    <mergeCell ref="B106:C106"/>
    <mergeCell ref="B125:C125"/>
    <mergeCell ref="B126:C126"/>
    <mergeCell ref="B127:C127"/>
    <mergeCell ref="B128:C128"/>
    <mergeCell ref="B79:C79"/>
    <mergeCell ref="B71:C71"/>
    <mergeCell ref="B75:C75"/>
    <mergeCell ref="B76:C76"/>
    <mergeCell ref="B77:C77"/>
    <mergeCell ref="B72:C72"/>
    <mergeCell ref="B73:C73"/>
    <mergeCell ref="B74:C74"/>
    <mergeCell ref="B110:C110"/>
    <mergeCell ref="B86:C86"/>
    <mergeCell ref="B95:C95"/>
    <mergeCell ref="B96:C96"/>
    <mergeCell ref="B97:C97"/>
    <mergeCell ref="B107:C107"/>
    <mergeCell ref="B108:C108"/>
    <mergeCell ref="B109:C109"/>
    <mergeCell ref="B93:C93"/>
    <mergeCell ref="B94:C94"/>
    <mergeCell ref="B98:C98"/>
    <mergeCell ref="B99:C99"/>
    <mergeCell ref="B100:C100"/>
    <mergeCell ref="B89:C89"/>
    <mergeCell ref="B67:C67"/>
    <mergeCell ref="B59:C59"/>
    <mergeCell ref="B63:C63"/>
    <mergeCell ref="A69:H69"/>
    <mergeCell ref="B78:C78"/>
    <mergeCell ref="B44:D44"/>
    <mergeCell ref="B45:D45"/>
    <mergeCell ref="B46:D46"/>
    <mergeCell ref="B47:D47"/>
    <mergeCell ref="B48:D48"/>
    <mergeCell ref="B49:D49"/>
    <mergeCell ref="B64:C64"/>
    <mergeCell ref="B65:C65"/>
    <mergeCell ref="B66:C66"/>
    <mergeCell ref="A1:K1"/>
    <mergeCell ref="A4:K4"/>
    <mergeCell ref="A6:B6"/>
    <mergeCell ref="A8:C8"/>
    <mergeCell ref="J13:J15"/>
    <mergeCell ref="K13:K15"/>
    <mergeCell ref="D14:D15"/>
    <mergeCell ref="B84:C84"/>
    <mergeCell ref="B85:C85"/>
    <mergeCell ref="A40:H40"/>
    <mergeCell ref="B42:D42"/>
    <mergeCell ref="B43:D43"/>
    <mergeCell ref="A13:A15"/>
    <mergeCell ref="B13:B15"/>
    <mergeCell ref="C13:C15"/>
    <mergeCell ref="D13:G13"/>
    <mergeCell ref="H13:H15"/>
    <mergeCell ref="I13:I15"/>
    <mergeCell ref="B50:D50"/>
    <mergeCell ref="B51:D51"/>
    <mergeCell ref="B55:C55"/>
    <mergeCell ref="B56:C56"/>
    <mergeCell ref="B57:C57"/>
    <mergeCell ref="B58:C58"/>
  </mergeCells>
  <pageMargins left="0.7" right="0.7" top="0.75" bottom="0.75" header="0.3" footer="0.3"/>
  <pageSetup paperSize="9" scale="43" orientation="portrait" r:id="rId1"/>
  <rowBreaks count="1" manualBreakCount="1">
    <brk id="12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U63"/>
  <sheetViews>
    <sheetView view="pageBreakPreview" topLeftCell="A25" zoomScaleSheetLayoutView="100" workbookViewId="0">
      <selection activeCell="E66" sqref="E66"/>
    </sheetView>
  </sheetViews>
  <sheetFormatPr defaultColWidth="9.140625" defaultRowHeight="15"/>
  <cols>
    <col min="1" max="1" width="8.85546875" style="18" customWidth="1"/>
    <col min="2" max="2" width="17.7109375" style="109" customWidth="1"/>
    <col min="3" max="3" width="14.28515625" style="109" customWidth="1"/>
    <col min="4" max="11" width="14" style="109" customWidth="1"/>
    <col min="12" max="12" width="17.7109375" style="18" customWidth="1"/>
    <col min="13" max="16384" width="9.140625" style="18"/>
  </cols>
  <sheetData>
    <row r="1" spans="1:11" ht="15.75">
      <c r="A1" s="667" t="s">
        <v>202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</row>
    <row r="3" spans="1:11">
      <c r="A3" s="482" t="s">
        <v>429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</row>
    <row r="5" spans="1:11">
      <c r="A5" s="482" t="s">
        <v>203</v>
      </c>
      <c r="B5" s="482"/>
      <c r="C5" s="277" t="s">
        <v>190</v>
      </c>
    </row>
    <row r="7" spans="1:11">
      <c r="A7" s="482" t="s">
        <v>204</v>
      </c>
      <c r="B7" s="482"/>
      <c r="C7" s="482"/>
      <c r="D7" s="278" t="s">
        <v>295</v>
      </c>
    </row>
    <row r="8" spans="1:11">
      <c r="A8" s="287"/>
      <c r="B8" s="287"/>
      <c r="C8" s="287"/>
    </row>
    <row r="9" spans="1:11">
      <c r="A9" s="110" t="s">
        <v>205</v>
      </c>
      <c r="B9" s="111"/>
      <c r="C9" s="111"/>
      <c r="D9" s="111"/>
    </row>
    <row r="10" spans="1:11">
      <c r="A10" s="110" t="s">
        <v>206</v>
      </c>
      <c r="B10" s="111"/>
      <c r="C10" s="111"/>
      <c r="D10" s="111"/>
    </row>
    <row r="12" spans="1:11" s="112" customFormat="1" ht="12">
      <c r="A12" s="669"/>
      <c r="B12" s="668" t="s">
        <v>207</v>
      </c>
      <c r="C12" s="668" t="s">
        <v>208</v>
      </c>
      <c r="D12" s="668" t="s">
        <v>209</v>
      </c>
      <c r="E12" s="668"/>
      <c r="F12" s="668"/>
      <c r="G12" s="668"/>
      <c r="H12" s="668" t="s">
        <v>210</v>
      </c>
      <c r="I12" s="668" t="s">
        <v>305</v>
      </c>
      <c r="J12" s="668" t="s">
        <v>306</v>
      </c>
      <c r="K12" s="668" t="s">
        <v>307</v>
      </c>
    </row>
    <row r="13" spans="1:11" s="112" customFormat="1" ht="12">
      <c r="A13" s="669"/>
      <c r="B13" s="668"/>
      <c r="C13" s="668"/>
      <c r="D13" s="669" t="s">
        <v>211</v>
      </c>
      <c r="E13" s="293" t="s">
        <v>29</v>
      </c>
      <c r="F13" s="293"/>
      <c r="G13" s="293"/>
      <c r="H13" s="668"/>
      <c r="I13" s="668"/>
      <c r="J13" s="668"/>
      <c r="K13" s="668"/>
    </row>
    <row r="14" spans="1:11" s="114" customFormat="1" ht="36">
      <c r="A14" s="669"/>
      <c r="B14" s="668"/>
      <c r="C14" s="668"/>
      <c r="D14" s="669"/>
      <c r="E14" s="113" t="s">
        <v>212</v>
      </c>
      <c r="F14" s="113" t="s">
        <v>213</v>
      </c>
      <c r="G14" s="113" t="s">
        <v>214</v>
      </c>
      <c r="H14" s="668"/>
      <c r="I14" s="668"/>
      <c r="J14" s="668"/>
      <c r="K14" s="668"/>
    </row>
    <row r="15" spans="1:11" s="116" customFormat="1">
      <c r="A15" s="115">
        <v>1</v>
      </c>
      <c r="B15" s="115">
        <v>2</v>
      </c>
      <c r="C15" s="115">
        <v>3</v>
      </c>
      <c r="D15" s="115">
        <v>4</v>
      </c>
      <c r="E15" s="115">
        <v>5</v>
      </c>
      <c r="F15" s="115">
        <v>6</v>
      </c>
      <c r="G15" s="115">
        <v>7</v>
      </c>
      <c r="H15" s="115">
        <v>8</v>
      </c>
      <c r="I15" s="115">
        <v>9</v>
      </c>
      <c r="J15" s="115">
        <v>10</v>
      </c>
      <c r="K15" s="115">
        <v>11</v>
      </c>
    </row>
    <row r="16" spans="1:11" s="116" customFormat="1">
      <c r="A16" s="115"/>
      <c r="B16" s="115" t="s">
        <v>503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24.75">
      <c r="A17" s="117">
        <v>1</v>
      </c>
      <c r="B17" s="113" t="s">
        <v>302</v>
      </c>
      <c r="C17" s="118"/>
      <c r="D17" s="118">
        <f>E17+F17+G17</f>
        <v>0</v>
      </c>
      <c r="E17" s="118"/>
      <c r="F17" s="118"/>
      <c r="G17" s="118"/>
      <c r="H17" s="118"/>
      <c r="I17" s="118">
        <f>C17*D17+H17</f>
        <v>0</v>
      </c>
      <c r="J17" s="118"/>
      <c r="K17" s="118"/>
    </row>
    <row r="18" spans="1:11">
      <c r="A18" s="117">
        <v>2</v>
      </c>
      <c r="B18" s="113" t="s">
        <v>303</v>
      </c>
      <c r="C18" s="118"/>
      <c r="D18" s="118">
        <f t="shared" ref="D18" si="0">E18+F18+G18</f>
        <v>0</v>
      </c>
      <c r="E18" s="118"/>
      <c r="F18" s="118"/>
      <c r="G18" s="118"/>
      <c r="H18" s="118"/>
      <c r="I18" s="118">
        <f t="shared" ref="I18" si="1">C18*D18+H18</f>
        <v>0</v>
      </c>
      <c r="J18" s="118"/>
      <c r="K18" s="118"/>
    </row>
    <row r="19" spans="1:11">
      <c r="A19" s="117">
        <v>3</v>
      </c>
      <c r="B19" s="113" t="s">
        <v>304</v>
      </c>
      <c r="C19" s="118">
        <v>35.6</v>
      </c>
      <c r="D19" s="306">
        <f>E19+F19+G19</f>
        <v>0</v>
      </c>
      <c r="E19" s="118"/>
      <c r="F19" s="306"/>
      <c r="G19" s="306"/>
      <c r="H19" s="306">
        <v>148.87</v>
      </c>
      <c r="I19" s="157">
        <f>ROUND((C19*(D19+H19))*8,0)</f>
        <v>42398</v>
      </c>
      <c r="J19" s="157">
        <f>I19</f>
        <v>42398</v>
      </c>
      <c r="K19" s="157">
        <f>J19</f>
        <v>42398</v>
      </c>
    </row>
    <row r="20" spans="1:11" s="116" customFormat="1">
      <c r="A20" s="115"/>
      <c r="B20" s="115" t="s">
        <v>504</v>
      </c>
      <c r="C20" s="115"/>
      <c r="D20" s="306">
        <f t="shared" ref="D20:D27" si="2">E20+F20+G20</f>
        <v>0</v>
      </c>
      <c r="E20" s="115"/>
      <c r="F20" s="115"/>
      <c r="G20" s="115"/>
      <c r="H20" s="115"/>
      <c r="I20" s="157">
        <f t="shared" ref="I20:I26" si="3">ROUND((C20*(D20+H20))*8,0)</f>
        <v>0</v>
      </c>
      <c r="J20" s="115"/>
      <c r="K20" s="115"/>
    </row>
    <row r="21" spans="1:11" ht="24.75">
      <c r="A21" s="117">
        <v>1</v>
      </c>
      <c r="B21" s="113" t="s">
        <v>302</v>
      </c>
      <c r="C21" s="118"/>
      <c r="D21" s="306">
        <f t="shared" si="2"/>
        <v>0</v>
      </c>
      <c r="E21" s="118"/>
      <c r="F21" s="118"/>
      <c r="G21" s="118"/>
      <c r="H21" s="118"/>
      <c r="I21" s="157">
        <f t="shared" si="3"/>
        <v>0</v>
      </c>
      <c r="J21" s="118"/>
      <c r="K21" s="118"/>
    </row>
    <row r="22" spans="1:11">
      <c r="A22" s="117">
        <v>2</v>
      </c>
      <c r="B22" s="113" t="s">
        <v>303</v>
      </c>
      <c r="C22" s="118"/>
      <c r="D22" s="306">
        <f t="shared" si="2"/>
        <v>0</v>
      </c>
      <c r="E22" s="118"/>
      <c r="F22" s="118"/>
      <c r="G22" s="118"/>
      <c r="H22" s="118"/>
      <c r="I22" s="157">
        <f t="shared" si="3"/>
        <v>0</v>
      </c>
      <c r="J22" s="118"/>
      <c r="K22" s="118"/>
    </row>
    <row r="23" spans="1:11">
      <c r="A23" s="117">
        <v>3</v>
      </c>
      <c r="B23" s="113" t="s">
        <v>304</v>
      </c>
      <c r="C23" s="118">
        <v>35.6</v>
      </c>
      <c r="D23" s="306">
        <f t="shared" si="2"/>
        <v>0</v>
      </c>
      <c r="E23" s="118"/>
      <c r="F23" s="306"/>
      <c r="G23" s="306"/>
      <c r="H23" s="306">
        <v>148.87</v>
      </c>
      <c r="I23" s="157">
        <f>ROUND((C23*(D23+H23))*1,0)</f>
        <v>5300</v>
      </c>
      <c r="J23" s="157">
        <f>I23</f>
        <v>5300</v>
      </c>
      <c r="K23" s="157">
        <f>J23</f>
        <v>5300</v>
      </c>
    </row>
    <row r="24" spans="1:11" s="116" customFormat="1">
      <c r="A24" s="115"/>
      <c r="B24" s="115" t="s">
        <v>509</v>
      </c>
      <c r="C24" s="115"/>
      <c r="D24" s="306">
        <f t="shared" si="2"/>
        <v>0</v>
      </c>
      <c r="E24" s="115"/>
      <c r="F24" s="115"/>
      <c r="G24" s="115"/>
      <c r="H24" s="115"/>
      <c r="I24" s="157">
        <f t="shared" si="3"/>
        <v>0</v>
      </c>
      <c r="J24" s="115"/>
      <c r="K24" s="115"/>
    </row>
    <row r="25" spans="1:11" ht="24.75">
      <c r="A25" s="117">
        <v>1</v>
      </c>
      <c r="B25" s="113" t="s">
        <v>302</v>
      </c>
      <c r="C25" s="118"/>
      <c r="D25" s="306">
        <f t="shared" si="2"/>
        <v>0</v>
      </c>
      <c r="E25" s="118"/>
      <c r="F25" s="118"/>
      <c r="G25" s="118"/>
      <c r="H25" s="118"/>
      <c r="I25" s="157">
        <f t="shared" si="3"/>
        <v>0</v>
      </c>
      <c r="J25" s="118"/>
      <c r="K25" s="118"/>
    </row>
    <row r="26" spans="1:11">
      <c r="A26" s="117">
        <v>2</v>
      </c>
      <c r="B26" s="113" t="s">
        <v>303</v>
      </c>
      <c r="C26" s="118"/>
      <c r="D26" s="306">
        <f t="shared" si="2"/>
        <v>0</v>
      </c>
      <c r="E26" s="118"/>
      <c r="F26" s="118"/>
      <c r="G26" s="118"/>
      <c r="H26" s="118"/>
      <c r="I26" s="157">
        <f t="shared" si="3"/>
        <v>0</v>
      </c>
      <c r="J26" s="118"/>
      <c r="K26" s="118"/>
    </row>
    <row r="27" spans="1:11">
      <c r="A27" s="117">
        <v>3</v>
      </c>
      <c r="B27" s="113" t="s">
        <v>304</v>
      </c>
      <c r="C27" s="118">
        <v>35.6</v>
      </c>
      <c r="D27" s="306">
        <f t="shared" si="2"/>
        <v>0</v>
      </c>
      <c r="E27" s="118"/>
      <c r="F27" s="306"/>
      <c r="G27" s="306"/>
      <c r="H27" s="306">
        <v>148.87</v>
      </c>
      <c r="I27" s="157">
        <f>ROUND((C27*(D27+H27))*3,0)+1</f>
        <v>15900</v>
      </c>
      <c r="J27" s="157">
        <f>I27</f>
        <v>15900</v>
      </c>
      <c r="K27" s="157">
        <f>J27</f>
        <v>15900</v>
      </c>
    </row>
    <row r="28" spans="1:11" s="156" customFormat="1">
      <c r="A28" s="154" t="s">
        <v>215</v>
      </c>
      <c r="B28" s="155"/>
      <c r="C28" s="155"/>
      <c r="D28" s="155"/>
      <c r="E28" s="155"/>
      <c r="F28" s="155"/>
      <c r="G28" s="155"/>
      <c r="H28" s="155"/>
      <c r="I28" s="158">
        <f>SUM(I17:I27)</f>
        <v>63598</v>
      </c>
      <c r="J28" s="158">
        <f>SUM(J17:J27)</f>
        <v>63598</v>
      </c>
      <c r="K28" s="158">
        <f>SUM(K17:K27)</f>
        <v>63598</v>
      </c>
    </row>
    <row r="30" spans="1:11" s="66" customFormat="1" ht="14.25" hidden="1">
      <c r="A30" s="66" t="s">
        <v>216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idden="1"/>
    <row r="32" spans="1:11" s="112" customFormat="1" ht="48" hidden="1">
      <c r="A32" s="119" t="s">
        <v>217</v>
      </c>
      <c r="B32" s="113" t="s">
        <v>218</v>
      </c>
      <c r="C32" s="113" t="s">
        <v>219</v>
      </c>
      <c r="D32" s="113" t="s">
        <v>220</v>
      </c>
      <c r="E32" s="113" t="s">
        <v>221</v>
      </c>
      <c r="F32" s="113" t="s">
        <v>222</v>
      </c>
      <c r="G32" s="113" t="s">
        <v>222</v>
      </c>
      <c r="H32" s="113" t="s">
        <v>222</v>
      </c>
      <c r="I32" s="120"/>
      <c r="J32" s="120"/>
      <c r="K32" s="120"/>
    </row>
    <row r="33" spans="1:8" s="116" customFormat="1" hidden="1">
      <c r="A33" s="115">
        <v>1</v>
      </c>
      <c r="B33" s="115">
        <v>2</v>
      </c>
      <c r="C33" s="115">
        <v>3</v>
      </c>
      <c r="D33" s="115">
        <v>4</v>
      </c>
      <c r="E33" s="115">
        <v>5</v>
      </c>
      <c r="F33" s="115">
        <v>6</v>
      </c>
      <c r="G33" s="115">
        <v>7</v>
      </c>
      <c r="H33" s="115">
        <v>8</v>
      </c>
    </row>
    <row r="34" spans="1:8" hidden="1">
      <c r="A34" s="117"/>
      <c r="B34" s="118"/>
      <c r="C34" s="118"/>
      <c r="D34" s="118"/>
      <c r="E34" s="118"/>
      <c r="F34" s="118"/>
      <c r="G34" s="118"/>
      <c r="H34" s="118"/>
    </row>
    <row r="35" spans="1:8" hidden="1">
      <c r="A35" s="117"/>
      <c r="B35" s="118"/>
      <c r="C35" s="118"/>
      <c r="D35" s="118"/>
      <c r="E35" s="118"/>
      <c r="F35" s="118"/>
      <c r="G35" s="118"/>
      <c r="H35" s="118"/>
    </row>
    <row r="36" spans="1:8" hidden="1">
      <c r="A36" s="117"/>
      <c r="B36" s="118"/>
      <c r="C36" s="118"/>
      <c r="D36" s="118"/>
      <c r="E36" s="118"/>
      <c r="F36" s="118"/>
      <c r="G36" s="118"/>
      <c r="H36" s="118"/>
    </row>
    <row r="37" spans="1:8" hidden="1">
      <c r="A37" s="117"/>
      <c r="B37" s="118"/>
      <c r="C37" s="118"/>
      <c r="D37" s="118"/>
      <c r="E37" s="118"/>
      <c r="F37" s="118"/>
      <c r="G37" s="118"/>
      <c r="H37" s="118"/>
    </row>
    <row r="38" spans="1:8" hidden="1">
      <c r="A38" s="117"/>
      <c r="B38" s="118"/>
      <c r="C38" s="118"/>
      <c r="D38" s="118"/>
      <c r="E38" s="118"/>
      <c r="F38" s="118"/>
      <c r="G38" s="118"/>
      <c r="H38" s="118"/>
    </row>
    <row r="39" spans="1:8" hidden="1">
      <c r="A39" s="117"/>
      <c r="B39" s="118"/>
      <c r="C39" s="118"/>
      <c r="D39" s="118"/>
      <c r="E39" s="118"/>
      <c r="F39" s="118"/>
      <c r="G39" s="118"/>
      <c r="H39" s="118"/>
    </row>
    <row r="40" spans="1:8" hidden="1">
      <c r="A40" s="117"/>
      <c r="B40" s="118"/>
      <c r="C40" s="118"/>
      <c r="D40" s="118"/>
      <c r="E40" s="118"/>
      <c r="F40" s="118"/>
      <c r="G40" s="118"/>
      <c r="H40" s="118"/>
    </row>
    <row r="41" spans="1:8" hidden="1"/>
    <row r="42" spans="1:8">
      <c r="A42" s="674" t="s">
        <v>223</v>
      </c>
      <c r="B42" s="674"/>
      <c r="C42" s="674"/>
      <c r="D42" s="674"/>
      <c r="E42" s="674"/>
      <c r="F42" s="674"/>
      <c r="G42" s="674"/>
      <c r="H42" s="674"/>
    </row>
    <row r="44" spans="1:8" ht="48.75">
      <c r="A44" s="119" t="s">
        <v>217</v>
      </c>
      <c r="B44" s="670" t="s">
        <v>224</v>
      </c>
      <c r="C44" s="675"/>
      <c r="D44" s="671"/>
      <c r="E44" s="113" t="s">
        <v>225</v>
      </c>
      <c r="F44" s="113" t="s">
        <v>296</v>
      </c>
      <c r="G44" s="113" t="s">
        <v>297</v>
      </c>
      <c r="H44" s="113" t="s">
        <v>298</v>
      </c>
    </row>
    <row r="45" spans="1:8">
      <c r="A45" s="115">
        <v>1</v>
      </c>
      <c r="B45" s="672">
        <v>2</v>
      </c>
      <c r="C45" s="676"/>
      <c r="D45" s="673"/>
      <c r="E45" s="115">
        <v>3</v>
      </c>
      <c r="F45" s="115">
        <v>4</v>
      </c>
      <c r="G45" s="115">
        <v>5</v>
      </c>
      <c r="H45" s="115">
        <v>6</v>
      </c>
    </row>
    <row r="46" spans="1:8">
      <c r="A46" s="117">
        <v>1</v>
      </c>
      <c r="B46" s="677" t="s">
        <v>226</v>
      </c>
      <c r="C46" s="678"/>
      <c r="D46" s="679"/>
      <c r="E46" s="157"/>
      <c r="F46" s="157">
        <f>F48</f>
        <v>13992</v>
      </c>
      <c r="G46" s="157">
        <f t="shared" ref="G46:H46" si="4">G48</f>
        <v>13992</v>
      </c>
      <c r="H46" s="157">
        <f t="shared" si="4"/>
        <v>13992</v>
      </c>
    </row>
    <row r="47" spans="1:8">
      <c r="A47" s="117"/>
      <c r="B47" s="677" t="s">
        <v>29</v>
      </c>
      <c r="C47" s="678"/>
      <c r="D47" s="679"/>
      <c r="E47" s="157"/>
      <c r="F47" s="157"/>
      <c r="G47" s="157"/>
      <c r="H47" s="157"/>
    </row>
    <row r="48" spans="1:8">
      <c r="A48" s="121"/>
      <c r="B48" s="677" t="s">
        <v>227</v>
      </c>
      <c r="C48" s="678"/>
      <c r="D48" s="679"/>
      <c r="E48" s="157">
        <f>I28</f>
        <v>63598</v>
      </c>
      <c r="F48" s="157">
        <f>ROUND(E48*0.22,0)</f>
        <v>13992</v>
      </c>
      <c r="G48" s="157">
        <f>ROUND(J28*0.22,0)</f>
        <v>13992</v>
      </c>
      <c r="H48" s="157">
        <f>ROUND(K28*0.22,0)</f>
        <v>13992</v>
      </c>
    </row>
    <row r="49" spans="1:21">
      <c r="A49" s="117">
        <v>2</v>
      </c>
      <c r="B49" s="677" t="s">
        <v>228</v>
      </c>
      <c r="C49" s="678"/>
      <c r="D49" s="679"/>
      <c r="E49" s="157"/>
      <c r="F49" s="157">
        <f>F50+F51</f>
        <v>1971</v>
      </c>
      <c r="G49" s="157">
        <f t="shared" ref="G49:H49" si="5">G50+G51</f>
        <v>1971</v>
      </c>
      <c r="H49" s="157">
        <f t="shared" si="5"/>
        <v>1971</v>
      </c>
    </row>
    <row r="50" spans="1:21">
      <c r="A50" s="117"/>
      <c r="B50" s="677" t="s">
        <v>229</v>
      </c>
      <c r="C50" s="678"/>
      <c r="D50" s="679"/>
      <c r="E50" s="157">
        <f>E48</f>
        <v>63598</v>
      </c>
      <c r="F50" s="157">
        <f>ROUND(E50*0.029,0)</f>
        <v>1844</v>
      </c>
      <c r="G50" s="157">
        <f>ROUND(J28*0.029,0)</f>
        <v>1844</v>
      </c>
      <c r="H50" s="157">
        <f>ROUND(K28*0.029,0)</f>
        <v>1844</v>
      </c>
    </row>
    <row r="51" spans="1:21">
      <c r="A51" s="117"/>
      <c r="B51" s="677" t="s">
        <v>230</v>
      </c>
      <c r="C51" s="678"/>
      <c r="D51" s="679"/>
      <c r="E51" s="157">
        <f>E50</f>
        <v>63598</v>
      </c>
      <c r="F51" s="157">
        <f>ROUND(E51*0.002,0)</f>
        <v>127</v>
      </c>
      <c r="G51" s="157">
        <f>ROUND(J28*0.002,0)</f>
        <v>127</v>
      </c>
      <c r="H51" s="157">
        <f>ROUND(K28*0.002,0)</f>
        <v>127</v>
      </c>
    </row>
    <row r="52" spans="1:21">
      <c r="A52" s="117">
        <v>3</v>
      </c>
      <c r="B52" s="677" t="s">
        <v>231</v>
      </c>
      <c r="C52" s="678"/>
      <c r="D52" s="679"/>
      <c r="E52" s="157">
        <f>E51</f>
        <v>63598</v>
      </c>
      <c r="F52" s="157">
        <f>ROUND(E52*0.051,0)</f>
        <v>3243</v>
      </c>
      <c r="G52" s="157">
        <f>ROUND(J28*0.051,0)+1</f>
        <v>3244</v>
      </c>
      <c r="H52" s="157">
        <f>ROUND(K28*0.051,0)+1</f>
        <v>3244</v>
      </c>
    </row>
    <row r="53" spans="1:21" s="156" customFormat="1" ht="15.75" thickBot="1">
      <c r="A53" s="154"/>
      <c r="B53" s="680" t="s">
        <v>215</v>
      </c>
      <c r="C53" s="680"/>
      <c r="D53" s="680"/>
      <c r="E53" s="158"/>
      <c r="F53" s="158">
        <f>F46+F49+F52+1</f>
        <v>19207</v>
      </c>
      <c r="G53" s="158">
        <f t="shared" ref="G53:H53" si="6">G46+G49+G52</f>
        <v>19207</v>
      </c>
      <c r="H53" s="158">
        <f t="shared" si="6"/>
        <v>19207</v>
      </c>
      <c r="I53" s="159"/>
      <c r="J53" s="159"/>
      <c r="K53" s="159"/>
    </row>
    <row r="54" spans="1:21" ht="15.75" thickBot="1">
      <c r="A54" s="122"/>
      <c r="B54" s="694" t="s">
        <v>263</v>
      </c>
      <c r="C54" s="695"/>
      <c r="D54" s="695"/>
      <c r="E54" s="696"/>
      <c r="F54" s="161">
        <f>I28+F53</f>
        <v>82805</v>
      </c>
      <c r="G54" s="161">
        <f>J28+G53</f>
        <v>82805</v>
      </c>
      <c r="H54" s="161">
        <f>K28+H53</f>
        <v>82805</v>
      </c>
    </row>
    <row r="57" spans="1:21" s="335" customFormat="1" ht="20.25" customHeight="1">
      <c r="A57" s="697" t="s">
        <v>179</v>
      </c>
      <c r="B57" s="697"/>
      <c r="C57" s="697"/>
      <c r="D57" s="328" t="s">
        <v>401</v>
      </c>
      <c r="E57" s="123"/>
      <c r="F57" s="328"/>
      <c r="G57" s="123"/>
      <c r="H57" s="328" t="s">
        <v>505</v>
      </c>
      <c r="I57" s="328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4"/>
    </row>
    <row r="58" spans="1:21" s="335" customFormat="1" ht="20.25" customHeight="1">
      <c r="A58" s="697" t="s">
        <v>180</v>
      </c>
      <c r="B58" s="697"/>
      <c r="C58" s="697"/>
      <c r="D58" s="125" t="s">
        <v>264</v>
      </c>
      <c r="E58" s="126"/>
      <c r="F58" s="125" t="s">
        <v>265</v>
      </c>
      <c r="G58" s="126"/>
      <c r="H58" s="337" t="s">
        <v>266</v>
      </c>
      <c r="I58" s="337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4"/>
    </row>
    <row r="59" spans="1:21" s="335" customFormat="1">
      <c r="A59" s="336"/>
    </row>
    <row r="60" spans="1:21" s="335" customFormat="1" ht="30" customHeight="1">
      <c r="A60" s="698" t="s">
        <v>182</v>
      </c>
      <c r="B60" s="698"/>
      <c r="C60"/>
      <c r="D60" s="328" t="s">
        <v>515</v>
      </c>
      <c r="E60"/>
      <c r="F60" s="328"/>
      <c r="G60"/>
      <c r="H60" s="328" t="s">
        <v>519</v>
      </c>
      <c r="I60" s="328"/>
      <c r="J60" s="658" t="s">
        <v>488</v>
      </c>
      <c r="K60" s="658"/>
    </row>
    <row r="61" spans="1:21" s="335" customFormat="1">
      <c r="C61"/>
      <c r="D61" s="125" t="s">
        <v>267</v>
      </c>
      <c r="E61"/>
      <c r="F61" s="125" t="s">
        <v>265</v>
      </c>
      <c r="G61"/>
      <c r="H61" s="337" t="s">
        <v>266</v>
      </c>
      <c r="I61" s="337"/>
      <c r="J61" s="646" t="s">
        <v>183</v>
      </c>
      <c r="K61" s="646"/>
    </row>
    <row r="62" spans="1:21" s="335" customFormat="1">
      <c r="G62"/>
      <c r="H62"/>
      <c r="I62"/>
      <c r="J62"/>
    </row>
    <row r="63" spans="1:21" s="335" customFormat="1">
      <c r="A63" s="698" t="s">
        <v>489</v>
      </c>
      <c r="B63" s="698"/>
      <c r="C63" s="698"/>
      <c r="D63" s="698"/>
      <c r="E63" s="698"/>
    </row>
  </sheetData>
  <mergeCells count="31">
    <mergeCell ref="J60:K60"/>
    <mergeCell ref="J61:K61"/>
    <mergeCell ref="A63:E63"/>
    <mergeCell ref="B46:D46"/>
    <mergeCell ref="B47:D47"/>
    <mergeCell ref="B48:D48"/>
    <mergeCell ref="B49:D49"/>
    <mergeCell ref="B50:D50"/>
    <mergeCell ref="B52:D52"/>
    <mergeCell ref="B53:D53"/>
    <mergeCell ref="B54:E54"/>
    <mergeCell ref="A57:C57"/>
    <mergeCell ref="A58:C58"/>
    <mergeCell ref="A60:B60"/>
    <mergeCell ref="B51:D51"/>
    <mergeCell ref="A7:C7"/>
    <mergeCell ref="A1:K1"/>
    <mergeCell ref="A3:K3"/>
    <mergeCell ref="A5:B5"/>
    <mergeCell ref="B45:D45"/>
    <mergeCell ref="A12:A14"/>
    <mergeCell ref="B12:B14"/>
    <mergeCell ref="C12:C14"/>
    <mergeCell ref="D12:G12"/>
    <mergeCell ref="J12:J14"/>
    <mergeCell ref="K12:K14"/>
    <mergeCell ref="D13:D14"/>
    <mergeCell ref="A42:H42"/>
    <mergeCell ref="B44:D44"/>
    <mergeCell ref="H12:H14"/>
    <mergeCell ref="I12:I14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11</vt:i4>
      </vt:variant>
    </vt:vector>
  </HeadingPairs>
  <TitlesOfParts>
    <vt:vector size="29" baseType="lpstr">
      <vt:lpstr>план </vt:lpstr>
      <vt:lpstr>вспомогательная</vt:lpstr>
      <vt:lpstr>закупки</vt:lpstr>
      <vt:lpstr>аренда</vt:lpstr>
      <vt:lpstr>возмещение</vt:lpstr>
      <vt:lpstr>иная прин ПУ </vt:lpstr>
      <vt:lpstr>иная прин.</vt:lpstr>
      <vt:lpstr>местный</vt:lpstr>
      <vt:lpstr>Z1053</vt:lpstr>
      <vt:lpstr>71053</vt:lpstr>
      <vt:lpstr>Субвенция</vt:lpstr>
      <vt:lpstr>Дотация</vt:lpstr>
      <vt:lpstr>Антитеррор</vt:lpstr>
      <vt:lpstr>мол.спец</vt:lpstr>
      <vt:lpstr>иная расходы</vt:lpstr>
      <vt:lpstr>иная расходы род.плата</vt:lpstr>
      <vt:lpstr>121112130</vt:lpstr>
      <vt:lpstr>наказы избирателей</vt:lpstr>
      <vt:lpstr>вспомогательная!Заголовки_для_печати</vt:lpstr>
      <vt:lpstr>закупки!Заголовки_для_печати</vt:lpstr>
      <vt:lpstr>'план '!Заголовки_для_печати</vt:lpstr>
      <vt:lpstr>'121112130'!Область_печати</vt:lpstr>
      <vt:lpstr>Антитеррор!Область_печати</vt:lpstr>
      <vt:lpstr>вспомогательная!Область_печати</vt:lpstr>
      <vt:lpstr>закупки!Область_печати</vt:lpstr>
      <vt:lpstr>'иная прин ПУ '!Область_печати</vt:lpstr>
      <vt:lpstr>местный!Область_печати</vt:lpstr>
      <vt:lpstr>'план '!Область_печати</vt:lpstr>
      <vt:lpstr>Субвенция!Область_печати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Позднякова Н.В.</dc:creator>
  <cp:lastModifiedBy>User</cp:lastModifiedBy>
  <cp:lastPrinted>2020-07-21T07:53:54Z</cp:lastPrinted>
  <dcterms:created xsi:type="dcterms:W3CDTF">2020-01-16T12:18:17Z</dcterms:created>
  <dcterms:modified xsi:type="dcterms:W3CDTF">2020-07-21T07:54:08Z</dcterms:modified>
</cp:coreProperties>
</file>